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\gms_kb_spk\01. СПК_Объекты\02. Объекты Фонда Реновации\Полярная 4к1_\5. Заявки для СМР\1. СПК\"/>
    </mc:Choice>
  </mc:AlternateContent>
  <xr:revisionPtr revIDLastSave="0" documentId="13_ncr:1_{B6EEAD73-5B9A-4F81-848A-75217EB71AC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КЗ" sheetId="2" r:id="rId1"/>
    <sheet name="КЗ (2)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1" i="2" l="1"/>
  <c r="P111" i="2" s="1"/>
  <c r="L111" i="2" s="1"/>
  <c r="O110" i="2"/>
  <c r="P110" i="2" s="1"/>
  <c r="O94" i="2"/>
  <c r="P94" i="2" s="1"/>
  <c r="O86" i="2"/>
  <c r="P120" i="2"/>
  <c r="L120" i="2" s="1"/>
  <c r="O118" i="2"/>
  <c r="P118" i="2" s="1"/>
  <c r="L118" i="2" s="1"/>
  <c r="O150" i="2"/>
  <c r="L150" i="2" s="1"/>
  <c r="O149" i="2"/>
  <c r="L149" i="2" s="1"/>
  <c r="O148" i="2"/>
  <c r="L148" i="2" s="1"/>
  <c r="O147" i="2"/>
  <c r="L147" i="2" s="1"/>
  <c r="U104" i="3"/>
  <c r="K142" i="3"/>
  <c r="K138" i="3"/>
  <c r="K139" i="3"/>
  <c r="K140" i="3"/>
  <c r="K141" i="3"/>
  <c r="K137" i="3"/>
  <c r="J140" i="2"/>
  <c r="J142" i="2"/>
  <c r="J143" i="2"/>
  <c r="J144" i="2"/>
  <c r="U133" i="3"/>
  <c r="L133" i="3"/>
  <c r="J133" i="3"/>
  <c r="K133" i="3" s="1"/>
  <c r="U132" i="3"/>
  <c r="L132" i="3"/>
  <c r="J132" i="3"/>
  <c r="K132" i="3" s="1"/>
  <c r="U131" i="3"/>
  <c r="L131" i="3"/>
  <c r="J131" i="3"/>
  <c r="K131" i="3" s="1"/>
  <c r="L130" i="3"/>
  <c r="J130" i="3"/>
  <c r="J134" i="3" s="1"/>
  <c r="E130" i="3"/>
  <c r="U130" i="3" s="1"/>
  <c r="U129" i="3"/>
  <c r="T129" i="3"/>
  <c r="L129" i="3"/>
  <c r="L134" i="3" s="1"/>
  <c r="K129" i="3"/>
  <c r="J129" i="3"/>
  <c r="X124" i="3"/>
  <c r="U123" i="3"/>
  <c r="L123" i="3" s="1"/>
  <c r="U122" i="3"/>
  <c r="L122" i="3"/>
  <c r="U121" i="3"/>
  <c r="L121" i="3" s="1"/>
  <c r="U120" i="3"/>
  <c r="L120" i="3"/>
  <c r="V117" i="3"/>
  <c r="L117" i="3" s="1"/>
  <c r="V116" i="3"/>
  <c r="L116" i="3" s="1"/>
  <c r="V115" i="3"/>
  <c r="L115" i="3"/>
  <c r="V114" i="3"/>
  <c r="U114" i="3"/>
  <c r="L114" i="3"/>
  <c r="V113" i="3"/>
  <c r="L113" i="3" s="1"/>
  <c r="V110" i="3"/>
  <c r="L110" i="3"/>
  <c r="U103" i="3"/>
  <c r="V103" i="3" s="1"/>
  <c r="L103" i="3" s="1"/>
  <c r="U102" i="3"/>
  <c r="V102" i="3" s="1"/>
  <c r="L102" i="3" s="1"/>
  <c r="V101" i="3"/>
  <c r="L101" i="3" s="1"/>
  <c r="U101" i="3"/>
  <c r="V100" i="3"/>
  <c r="L100" i="3" s="1"/>
  <c r="U100" i="3"/>
  <c r="V99" i="3"/>
  <c r="L99" i="3"/>
  <c r="V98" i="3"/>
  <c r="L98" i="3"/>
  <c r="V97" i="3"/>
  <c r="L97" i="3" s="1"/>
  <c r="V96" i="3"/>
  <c r="L96" i="3" s="1"/>
  <c r="V95" i="3"/>
  <c r="L95" i="3"/>
  <c r="V94" i="3"/>
  <c r="L94" i="3" s="1"/>
  <c r="V93" i="3"/>
  <c r="L93" i="3" s="1"/>
  <c r="U93" i="3"/>
  <c r="U92" i="3"/>
  <c r="V92" i="3" s="1"/>
  <c r="L92" i="3" s="1"/>
  <c r="V91" i="3"/>
  <c r="U91" i="3"/>
  <c r="L91" i="3"/>
  <c r="V90" i="3"/>
  <c r="L90" i="3" s="1"/>
  <c r="U90" i="3"/>
  <c r="V89" i="3"/>
  <c r="L89" i="3" s="1"/>
  <c r="V88" i="3"/>
  <c r="U88" i="3"/>
  <c r="L88" i="3"/>
  <c r="V85" i="3"/>
  <c r="L85" i="3" s="1"/>
  <c r="U85" i="3"/>
  <c r="V84" i="3"/>
  <c r="L84" i="3" s="1"/>
  <c r="U84" i="3"/>
  <c r="U83" i="3"/>
  <c r="V83" i="3" s="1"/>
  <c r="L83" i="3" s="1"/>
  <c r="U82" i="3"/>
  <c r="V82" i="3" s="1"/>
  <c r="L82" i="3" s="1"/>
  <c r="V81" i="3"/>
  <c r="L81" i="3" s="1"/>
  <c r="U81" i="3"/>
  <c r="V80" i="3"/>
  <c r="L80" i="3" s="1"/>
  <c r="V79" i="3"/>
  <c r="U79" i="3"/>
  <c r="U80" i="3" s="1"/>
  <c r="L79" i="3"/>
  <c r="V78" i="3"/>
  <c r="U78" i="3"/>
  <c r="L78" i="3"/>
  <c r="V77" i="3"/>
  <c r="L77" i="3" s="1"/>
  <c r="U77" i="3"/>
  <c r="U95" i="3" s="1"/>
  <c r="U94" i="3" s="1"/>
  <c r="V76" i="3"/>
  <c r="L76" i="3" s="1"/>
  <c r="V73" i="3"/>
  <c r="U73" i="3"/>
  <c r="L73" i="3"/>
  <c r="V72" i="3"/>
  <c r="L72" i="3" s="1"/>
  <c r="U72" i="3"/>
  <c r="V71" i="3"/>
  <c r="L71" i="3" s="1"/>
  <c r="U71" i="3"/>
  <c r="V70" i="3"/>
  <c r="U70" i="3"/>
  <c r="U99" i="3" s="1"/>
  <c r="L70" i="3"/>
  <c r="V69" i="3"/>
  <c r="U69" i="3"/>
  <c r="U98" i="3" s="1"/>
  <c r="L69" i="3"/>
  <c r="V68" i="3"/>
  <c r="L68" i="3" s="1"/>
  <c r="V67" i="3"/>
  <c r="L67" i="3"/>
  <c r="L64" i="3"/>
  <c r="U63" i="3"/>
  <c r="L63" i="3"/>
  <c r="L62" i="3"/>
  <c r="V59" i="3"/>
  <c r="L59" i="3"/>
  <c r="V58" i="3"/>
  <c r="U58" i="3"/>
  <c r="L58" i="3"/>
  <c r="V57" i="3"/>
  <c r="L57" i="3"/>
  <c r="V56" i="3"/>
  <c r="U56" i="3"/>
  <c r="U57" i="3" s="1"/>
  <c r="L56" i="3"/>
  <c r="V53" i="3"/>
  <c r="L53" i="3" s="1"/>
  <c r="G53" i="3" s="1"/>
  <c r="U53" i="3"/>
  <c r="S53" i="3"/>
  <c r="R53" i="3"/>
  <c r="Q53" i="3"/>
  <c r="P53" i="3"/>
  <c r="O53" i="3"/>
  <c r="V50" i="3"/>
  <c r="L50" i="3" s="1"/>
  <c r="V49" i="3"/>
  <c r="L49" i="3"/>
  <c r="V48" i="3"/>
  <c r="L48" i="3" s="1"/>
  <c r="U48" i="3"/>
  <c r="V47" i="3"/>
  <c r="L47" i="3" s="1"/>
  <c r="U47" i="3"/>
  <c r="V46" i="3"/>
  <c r="U46" i="3"/>
  <c r="L46" i="3"/>
  <c r="G46" i="3" s="1"/>
  <c r="V45" i="3"/>
  <c r="U45" i="3"/>
  <c r="L45" i="3"/>
  <c r="G45" i="3" s="1"/>
  <c r="V44" i="3"/>
  <c r="U44" i="3"/>
  <c r="L44" i="3"/>
  <c r="G44" i="3" s="1"/>
  <c r="V43" i="3"/>
  <c r="U43" i="3"/>
  <c r="L43" i="3"/>
  <c r="G43" i="3" s="1"/>
  <c r="V42" i="3"/>
  <c r="U42" i="3"/>
  <c r="L42" i="3"/>
  <c r="G42" i="3" s="1"/>
  <c r="U40" i="3"/>
  <c r="V40" i="3" s="1"/>
  <c r="L40" i="3" s="1"/>
  <c r="G40" i="3" s="1"/>
  <c r="U39" i="3"/>
  <c r="V39" i="3" s="1"/>
  <c r="L39" i="3" s="1"/>
  <c r="G39" i="3" s="1"/>
  <c r="U38" i="3"/>
  <c r="V38" i="3" s="1"/>
  <c r="L38" i="3" s="1"/>
  <c r="G38" i="3" s="1"/>
  <c r="V37" i="3"/>
  <c r="L37" i="3"/>
  <c r="G37" i="3" s="1"/>
  <c r="V36" i="3"/>
  <c r="U36" i="3"/>
  <c r="L36" i="3"/>
  <c r="G36" i="3" s="1"/>
  <c r="V35" i="3"/>
  <c r="L35" i="3"/>
  <c r="G35" i="3" s="1"/>
  <c r="V34" i="3"/>
  <c r="U34" i="3"/>
  <c r="U35" i="3" s="1"/>
  <c r="L34" i="3"/>
  <c r="G34" i="3" s="1"/>
  <c r="V33" i="3"/>
  <c r="U33" i="3"/>
  <c r="L33" i="3"/>
  <c r="G33" i="3" s="1"/>
  <c r="V32" i="3"/>
  <c r="L32" i="3"/>
  <c r="G32" i="3"/>
  <c r="V31" i="3"/>
  <c r="L31" i="3" s="1"/>
  <c r="G31" i="3" s="1"/>
  <c r="V30" i="3"/>
  <c r="L30" i="3" s="1"/>
  <c r="G30" i="3" s="1"/>
  <c r="U30" i="3"/>
  <c r="V29" i="3"/>
  <c r="L29" i="3" s="1"/>
  <c r="G29" i="3" s="1"/>
  <c r="U29" i="3"/>
  <c r="V28" i="3"/>
  <c r="L28" i="3" s="1"/>
  <c r="G28" i="3" s="1"/>
  <c r="U28" i="3"/>
  <c r="V27" i="3"/>
  <c r="L27" i="3" s="1"/>
  <c r="G27" i="3" s="1"/>
  <c r="V26" i="3"/>
  <c r="U26" i="3"/>
  <c r="L26" i="3"/>
  <c r="G26" i="3" s="1"/>
  <c r="V25" i="3"/>
  <c r="U25" i="3"/>
  <c r="L25" i="3"/>
  <c r="G25" i="3" s="1"/>
  <c r="V24" i="3"/>
  <c r="G24" i="3"/>
  <c r="V23" i="3"/>
  <c r="L23" i="3" s="1"/>
  <c r="G23" i="3" s="1"/>
  <c r="U23" i="3"/>
  <c r="V22" i="3"/>
  <c r="L22" i="3" s="1"/>
  <c r="G22" i="3" s="1"/>
  <c r="V21" i="3"/>
  <c r="L21" i="3" s="1"/>
  <c r="G21" i="3" s="1"/>
  <c r="U21" i="3"/>
  <c r="V20" i="3"/>
  <c r="L20" i="3"/>
  <c r="G20" i="3" s="1"/>
  <c r="U116" i="3" s="1"/>
  <c r="V19" i="3"/>
  <c r="U19" i="3"/>
  <c r="L19" i="3"/>
  <c r="G19" i="3" s="1"/>
  <c r="V18" i="3"/>
  <c r="U18" i="3"/>
  <c r="L18" i="3"/>
  <c r="G18" i="3" s="1"/>
  <c r="V17" i="3"/>
  <c r="L17" i="3"/>
  <c r="G17" i="3" s="1"/>
  <c r="V16" i="3"/>
  <c r="L16" i="3"/>
  <c r="G16" i="3"/>
  <c r="V15" i="3"/>
  <c r="L15" i="3" s="1"/>
  <c r="G15" i="3" s="1"/>
  <c r="U15" i="3"/>
  <c r="V14" i="3"/>
  <c r="L14" i="3" s="1"/>
  <c r="G14" i="3" s="1"/>
  <c r="U14" i="3"/>
  <c r="V13" i="3"/>
  <c r="L13" i="3" s="1"/>
  <c r="G13" i="3" s="1"/>
  <c r="U13" i="3"/>
  <c r="V12" i="3"/>
  <c r="L12" i="3" s="1"/>
  <c r="G12" i="3" s="1"/>
  <c r="U12" i="3"/>
  <c r="V11" i="3"/>
  <c r="L11" i="3" s="1"/>
  <c r="G11" i="3" s="1"/>
  <c r="U11" i="3"/>
  <c r="U8" i="3"/>
  <c r="O60" i="2"/>
  <c r="P121" i="2"/>
  <c r="L121" i="2" s="1"/>
  <c r="U115" i="3" l="1"/>
  <c r="U117" i="3" s="1"/>
  <c r="U108" i="3"/>
  <c r="V108" i="3" s="1"/>
  <c r="L108" i="3" s="1"/>
  <c r="V104" i="3"/>
  <c r="L104" i="3" s="1"/>
  <c r="K134" i="3"/>
  <c r="V129" i="3" s="1"/>
  <c r="U109" i="3" s="1"/>
  <c r="V109" i="3" s="1"/>
  <c r="L109" i="3" s="1"/>
  <c r="U106" i="3"/>
  <c r="V106" i="3" s="1"/>
  <c r="L106" i="3" s="1"/>
  <c r="U107" i="3"/>
  <c r="V107" i="3" s="1"/>
  <c r="L107" i="3" s="1"/>
  <c r="U134" i="3"/>
  <c r="K130" i="3"/>
  <c r="U97" i="3"/>
  <c r="L140" i="2"/>
  <c r="O142" i="2"/>
  <c r="O143" i="2"/>
  <c r="O144" i="2"/>
  <c r="O140" i="2"/>
  <c r="N140" i="2"/>
  <c r="L141" i="2"/>
  <c r="L142" i="2"/>
  <c r="L143" i="2"/>
  <c r="L144" i="2"/>
  <c r="K142" i="2"/>
  <c r="K143" i="2"/>
  <c r="K144" i="2"/>
  <c r="K140" i="2"/>
  <c r="E141" i="2"/>
  <c r="O133" i="2"/>
  <c r="L133" i="2" s="1"/>
  <c r="P125" i="2"/>
  <c r="L125" i="2" s="1"/>
  <c r="P126" i="2"/>
  <c r="L126" i="2" s="1"/>
  <c r="P127" i="2"/>
  <c r="L127" i="2" s="1"/>
  <c r="P128" i="2"/>
  <c r="L128" i="2" s="1"/>
  <c r="P124" i="2"/>
  <c r="L124" i="2" s="1"/>
  <c r="R135" i="2"/>
  <c r="P98" i="2"/>
  <c r="L98" i="2" s="1"/>
  <c r="P99" i="2"/>
  <c r="L99" i="2" s="1"/>
  <c r="P100" i="2"/>
  <c r="L100" i="2" s="1"/>
  <c r="P102" i="2"/>
  <c r="L102" i="2" s="1"/>
  <c r="P103" i="2"/>
  <c r="L103" i="2" s="1"/>
  <c r="P104" i="2"/>
  <c r="L104" i="2" s="1"/>
  <c r="P105" i="2"/>
  <c r="L105" i="2" s="1"/>
  <c r="P106" i="2"/>
  <c r="L106" i="2" s="1"/>
  <c r="P107" i="2"/>
  <c r="L107" i="2" s="1"/>
  <c r="P108" i="2"/>
  <c r="L108" i="2" s="1"/>
  <c r="P97" i="2"/>
  <c r="L97" i="2" s="1"/>
  <c r="O141" i="2" l="1"/>
  <c r="J141" i="2"/>
  <c r="J145" i="2" s="1"/>
  <c r="U105" i="3"/>
  <c r="V105" i="3" s="1"/>
  <c r="L105" i="3" s="1"/>
  <c r="K141" i="2"/>
  <c r="L145" i="2"/>
  <c r="O145" i="2"/>
  <c r="O117" i="2" l="1"/>
  <c r="P117" i="2" s="1"/>
  <c r="L117" i="2" s="1"/>
  <c r="K145" i="2"/>
  <c r="P140" i="2" s="1"/>
  <c r="O119" i="2" s="1"/>
  <c r="P119" i="2" s="1"/>
  <c r="O115" i="2" l="1"/>
  <c r="P115" i="2" s="1"/>
  <c r="L115" i="2" s="1"/>
  <c r="P116" i="2"/>
  <c r="L116" i="2" s="1"/>
  <c r="O114" i="2"/>
  <c r="P114" i="2" s="1"/>
  <c r="L114" i="2" s="1"/>
  <c r="O113" i="2"/>
  <c r="P113" i="2" s="1"/>
  <c r="O93" i="2" l="1"/>
  <c r="P93" i="2" s="1"/>
  <c r="L93" i="2" s="1"/>
  <c r="O92" i="2"/>
  <c r="P92" i="2" s="1"/>
  <c r="L92" i="2" s="1"/>
  <c r="P83" i="2"/>
  <c r="L83" i="2" s="1"/>
  <c r="P84" i="2"/>
  <c r="L84" i="2" s="1"/>
  <c r="P85" i="2"/>
  <c r="L85" i="2" s="1"/>
  <c r="P88" i="2"/>
  <c r="L88" i="2" s="1"/>
  <c r="P89" i="2"/>
  <c r="L89" i="2" s="1"/>
  <c r="P75" i="2"/>
  <c r="L75" i="2" s="1"/>
  <c r="P76" i="2"/>
  <c r="L76" i="2" s="1"/>
  <c r="P77" i="2"/>
  <c r="L77" i="2" s="1"/>
  <c r="P78" i="2"/>
  <c r="L78" i="2" s="1"/>
  <c r="P79" i="2"/>
  <c r="L79" i="2" s="1"/>
  <c r="P80" i="2"/>
  <c r="L80" i="2" s="1"/>
  <c r="P74" i="2"/>
  <c r="L74" i="2" s="1"/>
  <c r="L70" i="2"/>
  <c r="L71" i="2"/>
  <c r="L69" i="2"/>
  <c r="L64" i="2"/>
  <c r="L65" i="2"/>
  <c r="L66" i="2"/>
  <c r="L63" i="2"/>
  <c r="P63" i="2"/>
  <c r="P64" i="2"/>
  <c r="P65" i="2"/>
  <c r="P66" i="2"/>
  <c r="P50" i="2"/>
  <c r="L50" i="2" s="1"/>
  <c r="G50" i="2" s="1"/>
  <c r="P51" i="2"/>
  <c r="L51" i="2" s="1"/>
  <c r="G51" i="2" s="1"/>
  <c r="P52" i="2"/>
  <c r="L52" i="2" s="1"/>
  <c r="G52" i="2" s="1"/>
  <c r="P53" i="2"/>
  <c r="L53" i="2" s="1"/>
  <c r="G53" i="2" s="1"/>
  <c r="P54" i="2"/>
  <c r="L54" i="2" s="1"/>
  <c r="P55" i="2"/>
  <c r="L55" i="2" s="1"/>
  <c r="P56" i="2"/>
  <c r="L56" i="2" s="1"/>
  <c r="P57" i="2"/>
  <c r="L57" i="2" s="1"/>
  <c r="P49" i="2"/>
  <c r="L49" i="2" s="1"/>
  <c r="G49" i="2" s="1"/>
  <c r="O45" i="2"/>
  <c r="P45" i="2" s="1"/>
  <c r="L45" i="2" s="1"/>
  <c r="G45" i="2" s="1"/>
  <c r="O47" i="2"/>
  <c r="P47" i="2" s="1"/>
  <c r="L47" i="2" s="1"/>
  <c r="G47" i="2" s="1"/>
  <c r="O46" i="2"/>
  <c r="P46" i="2" s="1"/>
  <c r="L46" i="2" s="1"/>
  <c r="G46" i="2" s="1"/>
  <c r="P19" i="2"/>
  <c r="L19" i="2" s="1"/>
  <c r="G19" i="2" s="1"/>
  <c r="P20" i="2"/>
  <c r="L20" i="2" s="1"/>
  <c r="G20" i="2" s="1"/>
  <c r="P21" i="2"/>
  <c r="L21" i="2" s="1"/>
  <c r="G21" i="2" s="1"/>
  <c r="P22" i="2"/>
  <c r="L22" i="2" s="1"/>
  <c r="G22" i="2" s="1"/>
  <c r="P23" i="2"/>
  <c r="L23" i="2" s="1"/>
  <c r="G23" i="2" s="1"/>
  <c r="P24" i="2"/>
  <c r="L24" i="2" s="1"/>
  <c r="G24" i="2" s="1"/>
  <c r="P25" i="2"/>
  <c r="L25" i="2" s="1"/>
  <c r="G25" i="2" s="1"/>
  <c r="P26" i="2"/>
  <c r="L26" i="2" s="1"/>
  <c r="G26" i="2" s="1"/>
  <c r="P27" i="2"/>
  <c r="L27" i="2" s="1"/>
  <c r="G27" i="2" s="1"/>
  <c r="P28" i="2"/>
  <c r="L28" i="2" s="1"/>
  <c r="G28" i="2" s="1"/>
  <c r="P29" i="2"/>
  <c r="L29" i="2" s="1"/>
  <c r="G29" i="2" s="1"/>
  <c r="P30" i="2"/>
  <c r="L30" i="2" s="1"/>
  <c r="G30" i="2" s="1"/>
  <c r="P31" i="2"/>
  <c r="L31" i="2" s="1"/>
  <c r="G31" i="2" s="1"/>
  <c r="P32" i="2"/>
  <c r="L32" i="2" s="1"/>
  <c r="G32" i="2" s="1"/>
  <c r="P33" i="2"/>
  <c r="L33" i="2" s="1"/>
  <c r="G33" i="2" s="1"/>
  <c r="P34" i="2"/>
  <c r="L34" i="2" s="1"/>
  <c r="G34" i="2" s="1"/>
  <c r="P35" i="2"/>
  <c r="L35" i="2" s="1"/>
  <c r="G35" i="2" s="1"/>
  <c r="P36" i="2"/>
  <c r="L36" i="2" s="1"/>
  <c r="G36" i="2" s="1"/>
  <c r="P37" i="2"/>
  <c r="L37" i="2" s="1"/>
  <c r="G37" i="2" s="1"/>
  <c r="P38" i="2"/>
  <c r="L38" i="2" s="1"/>
  <c r="G38" i="2" s="1"/>
  <c r="P39" i="2"/>
  <c r="L39" i="2" s="1"/>
  <c r="G39" i="2" s="1"/>
  <c r="P40" i="2"/>
  <c r="L40" i="2" s="1"/>
  <c r="G40" i="2" s="1"/>
  <c r="P41" i="2"/>
  <c r="L41" i="2" s="1"/>
  <c r="G41" i="2" s="1"/>
  <c r="P42" i="2"/>
  <c r="L42" i="2" s="1"/>
  <c r="G42" i="2" s="1"/>
  <c r="P43" i="2"/>
  <c r="L43" i="2" s="1"/>
  <c r="G43" i="2" s="1"/>
  <c r="P44" i="2"/>
  <c r="L44" i="2" s="1"/>
  <c r="G44" i="2" s="1"/>
  <c r="P18" i="2"/>
  <c r="L18" i="2" s="1"/>
  <c r="G18" i="2" s="1"/>
  <c r="O25" i="2" l="1"/>
  <c r="L94" i="2"/>
  <c r="O100" i="2"/>
  <c r="O99" i="2" s="1"/>
  <c r="O97" i="2"/>
  <c r="O102" i="2"/>
  <c r="O109" i="2"/>
  <c r="P109" i="2" s="1"/>
  <c r="L109" i="2" s="1"/>
  <c r="L110" i="2"/>
  <c r="O91" i="2"/>
  <c r="P91" i="2" s="1"/>
  <c r="L91" i="2" s="1"/>
  <c r="O90" i="2"/>
  <c r="P90" i="2" s="1"/>
  <c r="L90" i="2" s="1"/>
  <c r="O88" i="2"/>
  <c r="O89" i="2" s="1"/>
  <c r="O85" i="2"/>
  <c r="O84" i="2"/>
  <c r="O125" i="2"/>
  <c r="O126" i="2"/>
  <c r="O127" i="2"/>
  <c r="O132" i="2"/>
  <c r="L132" i="2" s="1"/>
  <c r="O134" i="2"/>
  <c r="L134" i="2" s="1"/>
  <c r="O131" i="2"/>
  <c r="L131" i="2" s="1"/>
  <c r="O77" i="2"/>
  <c r="O106" i="2" s="1"/>
  <c r="O76" i="2"/>
  <c r="O101" i="2" s="1"/>
  <c r="P101" i="2" s="1"/>
  <c r="L101" i="2" s="1"/>
  <c r="O80" i="2"/>
  <c r="O79" i="2"/>
  <c r="O78" i="2"/>
  <c r="O70" i="2"/>
  <c r="O65" i="2"/>
  <c r="O63" i="2"/>
  <c r="O64" i="2" s="1"/>
  <c r="P60" i="2"/>
  <c r="L60" i="2" s="1"/>
  <c r="G60" i="2" s="1"/>
  <c r="O55" i="2"/>
  <c r="O54" i="2"/>
  <c r="O52" i="2"/>
  <c r="O53" i="2"/>
  <c r="O51" i="2"/>
  <c r="O50" i="2"/>
  <c r="O49" i="2"/>
  <c r="O43" i="2"/>
  <c r="O41" i="2"/>
  <c r="O42" i="2" s="1"/>
  <c r="O40" i="2"/>
  <c r="O22" i="2"/>
  <c r="O37" i="2"/>
  <c r="O36" i="2"/>
  <c r="O35" i="2"/>
  <c r="O33" i="2"/>
  <c r="O32" i="2"/>
  <c r="O30" i="2"/>
  <c r="O28" i="2"/>
  <c r="O26" i="2"/>
  <c r="O21" i="2"/>
  <c r="O20" i="2"/>
  <c r="O19" i="2"/>
  <c r="O18" i="2"/>
  <c r="O15" i="2"/>
  <c r="O112" i="2" l="1"/>
  <c r="P112" i="2" s="1"/>
  <c r="L112" i="2" s="1"/>
  <c r="O107" i="2"/>
  <c r="O128" i="2"/>
  <c r="O104" i="2"/>
  <c r="O103" i="2" s="1"/>
  <c r="O10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Азаров Олег Владимирович</author>
  </authors>
  <commentList>
    <comment ref="N45" authorId="0" shapeId="0" xr:uid="{DD85564B-A40E-450B-9F05-BEBC5B33A971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Учтены усиления по 3м, закладные 480 шт по 100мм, закладные 480 шт по 200мм
</t>
        </r>
      </text>
    </comment>
    <comment ref="N46" authorId="0" shapeId="0" xr:uid="{6BBE6E82-441C-448E-A561-6C650B606293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100ммх24, низ 200ммх24шт</t>
        </r>
      </text>
    </comment>
    <comment ref="N47" authorId="0" shapeId="0" xr:uid="{F286C853-0609-4F4C-B762-771AAE33E248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 х 576, низ 200мм х 576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Азаров Олег Владимирович</author>
  </authors>
  <commentList>
    <comment ref="T38" authorId="0" shapeId="0" xr:uid="{ED002304-9562-4CD3-A168-BC8BF61FA6B5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Учтены усиления по 3м, закладные 480 шт по 100мм, закладные 480 шт по 200мм
</t>
        </r>
      </text>
    </comment>
    <comment ref="T39" authorId="0" shapeId="0" xr:uid="{144CBBC6-3BEA-48D7-804B-B7F6E0E0D912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100ммх24, низ 200ммх24шт</t>
        </r>
      </text>
    </comment>
    <comment ref="T40" authorId="0" shapeId="0" xr:uid="{9A6CE240-694C-4C6F-8333-04B6F4A83473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 х 576, низ 200мм х 576</t>
        </r>
      </text>
    </comment>
  </commentList>
</comments>
</file>

<file path=xl/sharedStrings.xml><?xml version="1.0" encoding="utf-8"?>
<sst xmlns="http://schemas.openxmlformats.org/spreadsheetml/2006/main" count="1299" uniqueCount="281">
  <si>
    <r>
      <t xml:space="preserve">ЗАКАЗЫ №№   </t>
    </r>
    <r>
      <rPr>
        <b/>
        <sz val="8"/>
        <color theme="1"/>
        <rFont val="Arial"/>
        <family val="2"/>
        <charset val="204"/>
      </rPr>
      <t>Полярная 4-38</t>
    </r>
    <r>
      <rPr>
        <sz val="8"/>
        <color theme="1"/>
        <rFont val="Arial"/>
        <family val="2"/>
        <charset val="204"/>
      </rPr>
      <t>,  </t>
    </r>
  </si>
  <si>
    <t>Производство</t>
  </si>
  <si>
    <t>Артикул</t>
  </si>
  <si>
    <t>Название</t>
  </si>
  <si>
    <t>Текстура</t>
  </si>
  <si>
    <t>Погонаж</t>
  </si>
  <si>
    <t>Вес, кг</t>
  </si>
  <si>
    <t>(материал)</t>
  </si>
  <si>
    <t>хлыстов</t>
  </si>
  <si>
    <t>Основная</t>
  </si>
  <si>
    <t>Внутренн.</t>
  </si>
  <si>
    <t>Внешняя</t>
  </si>
  <si>
    <t>Кол-во</t>
  </si>
  <si>
    <t>Ед.изм.</t>
  </si>
  <si>
    <t>Длина,</t>
  </si>
  <si>
    <t>мм</t>
  </si>
  <si>
    <t>ПРОФИЛИ AL</t>
  </si>
  <si>
    <t>СЕГАЛ</t>
  </si>
  <si>
    <t>Верхний и нижний ригель створки</t>
  </si>
  <si>
    <t>RAL 7016</t>
  </si>
  <si>
    <t>пог.м.</t>
  </si>
  <si>
    <t>Стойка притвора створки</t>
  </si>
  <si>
    <t>Стойка створки</t>
  </si>
  <si>
    <t>КП45165-1</t>
  </si>
  <si>
    <t>Профиль створки</t>
  </si>
  <si>
    <t>КП4535</t>
  </si>
  <si>
    <t>Штапик обратного уса</t>
  </si>
  <si>
    <t>КП45406</t>
  </si>
  <si>
    <t>Штапик</t>
  </si>
  <si>
    <t>КП45409</t>
  </si>
  <si>
    <t>КП45443</t>
  </si>
  <si>
    <t>Притвор</t>
  </si>
  <si>
    <t>КП4545</t>
  </si>
  <si>
    <t>Стойка, ригель КП45</t>
  </si>
  <si>
    <t>КП4546</t>
  </si>
  <si>
    <t>Штапик под заполнение 5 мм.</t>
  </si>
  <si>
    <t>КП4550</t>
  </si>
  <si>
    <t>КП4568</t>
  </si>
  <si>
    <t>Штапик под заполнение 6 мм.</t>
  </si>
  <si>
    <t>КПС 080</t>
  </si>
  <si>
    <t>Ригель, стойка рамы</t>
  </si>
  <si>
    <t>КПС 088</t>
  </si>
  <si>
    <t>КПС 1065</t>
  </si>
  <si>
    <t>Ригель</t>
  </si>
  <si>
    <t>КПС 1075</t>
  </si>
  <si>
    <t>КПС 1775</t>
  </si>
  <si>
    <t>Планка передвижная в створку окна</t>
  </si>
  <si>
    <t>Не окрашено</t>
  </si>
  <si>
    <t>КПС 201</t>
  </si>
  <si>
    <t>Стойка, ригель</t>
  </si>
  <si>
    <t>КПС 203</t>
  </si>
  <si>
    <t>КПС 204</t>
  </si>
  <si>
    <t>Притвор для установки двери в витраж</t>
  </si>
  <si>
    <t>КПС 280</t>
  </si>
  <si>
    <t>Стойка рамы трехполозкового раздвижного окна</t>
  </si>
  <si>
    <t>КПС 282</t>
  </si>
  <si>
    <t>Перекладина рамы трехполозкового раздвижного окна</t>
  </si>
  <si>
    <t>КПС 390</t>
  </si>
  <si>
    <t>Стойка</t>
  </si>
  <si>
    <t>Притвор рамы</t>
  </si>
  <si>
    <t>КПС 490</t>
  </si>
  <si>
    <t>Адаптер угловой стойки</t>
  </si>
  <si>
    <t>КПС 687</t>
  </si>
  <si>
    <t>Угловая стойка 90°</t>
  </si>
  <si>
    <t>СТАЛЬ</t>
  </si>
  <si>
    <t>Сталь</t>
  </si>
  <si>
    <t>Труба нерж. А2</t>
  </si>
  <si>
    <t>нерж.</t>
  </si>
  <si>
    <t>ФУРНИТУРА ОКОННАЯ РАЗДВИЖНАЯ</t>
  </si>
  <si>
    <t>Прочее</t>
  </si>
  <si>
    <t>BESTWIND CI/25</t>
  </si>
  <si>
    <t>Ручка-защелка</t>
  </si>
  <si>
    <t>-</t>
  </si>
  <si>
    <t>шт.</t>
  </si>
  <si>
    <t>BESTWIND CI/89</t>
  </si>
  <si>
    <t>Язычок и накладка</t>
  </si>
  <si>
    <t>BESTWIND RU/04</t>
  </si>
  <si>
    <t>Ролик регулируемый</t>
  </si>
  <si>
    <t>BESTWIND КТ/31</t>
  </si>
  <si>
    <t>Набор прокладок, вставок и заглушек для внутреннего крепления</t>
  </si>
  <si>
    <t>компл.</t>
  </si>
  <si>
    <t>ФУРНИТУРА ОКОННАЯ</t>
  </si>
  <si>
    <t>Ручка оконная</t>
  </si>
  <si>
    <t>СТН-0153.000-01</t>
  </si>
  <si>
    <t>Петля поворотная</t>
  </si>
  <si>
    <t>СТН-1850-150</t>
  </si>
  <si>
    <t>Комплект поворотной фурнитуры</t>
  </si>
  <si>
    <t>КОМПЛЕКТУЮЩИЕ</t>
  </si>
  <si>
    <t>Метизы</t>
  </si>
  <si>
    <t>DIN 7504 М А2 3,5х16 цех</t>
  </si>
  <si>
    <t>Винт 3,5х16</t>
  </si>
  <si>
    <t>KMR0014</t>
  </si>
  <si>
    <t>Клей KOERAPUR 666/90, 300 г. + KMR0013</t>
  </si>
  <si>
    <t>г.</t>
  </si>
  <si>
    <t>КП4510-15</t>
  </si>
  <si>
    <t>Закладная Т-образного соединения</t>
  </si>
  <si>
    <t>КП4510-31</t>
  </si>
  <si>
    <t>КПС 1823-37</t>
  </si>
  <si>
    <t>Угловая закладная</t>
  </si>
  <si>
    <t>КПС 200-14-4 (сухарь + крепеж)</t>
  </si>
  <si>
    <t>Закладная Т-обр. соединения</t>
  </si>
  <si>
    <t>КПС 200-31-4 (сухарь + крепеж)</t>
  </si>
  <si>
    <t>МОНТАЖНЫЙ КРЕПЕЖ, РАСХОДНЫЕ МАТЕРИАЛЫ</t>
  </si>
  <si>
    <t>DIN 933 A2 М10х40</t>
  </si>
  <si>
    <t>DIN 933 A2 М10х45</t>
  </si>
  <si>
    <t>DIN 933 A2 М10х50</t>
  </si>
  <si>
    <t>КПП-01</t>
  </si>
  <si>
    <t>Подкладка</t>
  </si>
  <si>
    <t>КПП-02</t>
  </si>
  <si>
    <t>Заполнения</t>
  </si>
  <si>
    <t>КПП-22-3-100</t>
  </si>
  <si>
    <t>КПП-28-3-100</t>
  </si>
  <si>
    <t>Подкладка под стекло</t>
  </si>
  <si>
    <t>КПУ-219</t>
  </si>
  <si>
    <t>Заглушка соединения ригеля со стойкой</t>
  </si>
  <si>
    <t>ТПУ-017-04-100</t>
  </si>
  <si>
    <t>АКСЕССУАРЫ</t>
  </si>
  <si>
    <t>DIN 7981 3,5х16</t>
  </si>
  <si>
    <t>DIN 7981 3,5х16 A2</t>
  </si>
  <si>
    <t>Винт 3,5x16</t>
  </si>
  <si>
    <t>DIN 7981 4,2х38</t>
  </si>
  <si>
    <t>Винт 4,2х38</t>
  </si>
  <si>
    <t>DIN 7981 4,2х60</t>
  </si>
  <si>
    <t>Винт 4,2х60</t>
  </si>
  <si>
    <t>DIN 7981 4,8х32</t>
  </si>
  <si>
    <t>Винт 4,8х32</t>
  </si>
  <si>
    <t>DIN 7982 4,2х19</t>
  </si>
  <si>
    <t>Винт 4,2х19</t>
  </si>
  <si>
    <t>Винт 5х25.66.019</t>
  </si>
  <si>
    <t>Винт 5х25 ГОСТ 10621-80</t>
  </si>
  <si>
    <t>Винт М8х16 ГОСТ 11074-93</t>
  </si>
  <si>
    <t>Винт М8х16</t>
  </si>
  <si>
    <t>КПМ.01.01</t>
  </si>
  <si>
    <t>Штифт ф7х30</t>
  </si>
  <si>
    <t>КПМ.01.02</t>
  </si>
  <si>
    <t>Штифт ф7х46</t>
  </si>
  <si>
    <t>КПП-50</t>
  </si>
  <si>
    <t>Крышка дренажного отверстия</t>
  </si>
  <si>
    <t>PB69 1000-3P</t>
  </si>
  <si>
    <t>Уплотнитель притвора</t>
  </si>
  <si>
    <t>КПУ-16-1</t>
  </si>
  <si>
    <t>Уплотнитель</t>
  </si>
  <si>
    <t>КПУ-19-1</t>
  </si>
  <si>
    <t>ТПУ-002ММ</t>
  </si>
  <si>
    <t>ТПУ-004ММ</t>
  </si>
  <si>
    <t>ЗАПОЛНЕНИЯ</t>
  </si>
  <si>
    <t>СМЛ 6 мм RAL9003</t>
  </si>
  <si>
    <t>Стекломагнезит 6 мм RAL9003</t>
  </si>
  <si>
    <t>Непрозрачное</t>
  </si>
  <si>
    <t>кв.м.</t>
  </si>
  <si>
    <t>СТ 4 мм.</t>
  </si>
  <si>
    <t>Стекло 4 мм.</t>
  </si>
  <si>
    <t>Прозрачное</t>
  </si>
  <si>
    <t>Триплекс 4.4.1</t>
  </si>
  <si>
    <t>Список изделий заказа</t>
  </si>
  <si>
    <t>№</t>
  </si>
  <si>
    <t>Наименование</t>
  </si>
  <si>
    <t>Система</t>
  </si>
  <si>
    <t>Размеры, мм</t>
  </si>
  <si>
    <t>S, кв.м</t>
  </si>
  <si>
    <t>Sобщ, кв.м</t>
  </si>
  <si>
    <t>Ширина</t>
  </si>
  <si>
    <t>Высота</t>
  </si>
  <si>
    <t>1.</t>
  </si>
  <si>
    <t>ВО-5</t>
  </si>
  <si>
    <t>КП40 / Конструкции</t>
  </si>
  <si>
    <t>2.</t>
  </si>
  <si>
    <t>ВО-6л</t>
  </si>
  <si>
    <t>3.</t>
  </si>
  <si>
    <t>ВО-6п</t>
  </si>
  <si>
    <t>4.</t>
  </si>
  <si>
    <t>ВО-7</t>
  </si>
  <si>
    <t>5.</t>
  </si>
  <si>
    <t>ВО-8</t>
  </si>
  <si>
    <t>КП45 / Конструкции</t>
  </si>
  <si>
    <t>хлысты</t>
  </si>
  <si>
    <t xml:space="preserve">  </t>
  </si>
  <si>
    <t>Вент. Решетки</t>
  </si>
  <si>
    <t>КПС 698</t>
  </si>
  <si>
    <t>Ламели</t>
  </si>
  <si>
    <t>КПС 165</t>
  </si>
  <si>
    <t>Рама вент. Решетки</t>
  </si>
  <si>
    <t>Адаптер</t>
  </si>
  <si>
    <t>КПС 1613</t>
  </si>
  <si>
    <t>КПС 814</t>
  </si>
  <si>
    <t>шт</t>
  </si>
  <si>
    <t>DIN 7981 4,2х19</t>
  </si>
  <si>
    <t>DIN 7981 4,2х16</t>
  </si>
  <si>
    <t>Винт 4,2х16</t>
  </si>
  <si>
    <t>УПЛОТНЕНИЯ</t>
  </si>
  <si>
    <t>КПС 079</t>
  </si>
  <si>
    <t>D10х1,5 А2</t>
  </si>
  <si>
    <t>Болт М6х40</t>
  </si>
  <si>
    <t>Болт М6х45</t>
  </si>
  <si>
    <t>Болт М6х50</t>
  </si>
  <si>
    <t>Гайка М6</t>
  </si>
  <si>
    <t>DIN 9021 A2 D6</t>
  </si>
  <si>
    <t>Шайба М6</t>
  </si>
  <si>
    <t>DIN 934 A2 М6</t>
  </si>
  <si>
    <t>168 витр</t>
  </si>
  <si>
    <t>Вент решетки</t>
  </si>
  <si>
    <t>КПС 393</t>
  </si>
  <si>
    <t>КПС 1234</t>
  </si>
  <si>
    <t xml:space="preserve">Закладная </t>
  </si>
  <si>
    <t>КПС 398</t>
  </si>
  <si>
    <t>КП4543</t>
  </si>
  <si>
    <t>Полоса стальная 120х5мм</t>
  </si>
  <si>
    <t>Полоса стальная 50х5мм</t>
  </si>
  <si>
    <t>Полоса</t>
  </si>
  <si>
    <t>пог.м</t>
  </si>
  <si>
    <t>СПЕЦИФИКАЦИЯ МАТЕРИАЛОВ ул. Полярная вл. 4        01/5994</t>
  </si>
  <si>
    <t>Азаров</t>
  </si>
  <si>
    <t>Исправил</t>
  </si>
  <si>
    <t>КП45160-1</t>
  </si>
  <si>
    <t>КП45162-1</t>
  </si>
  <si>
    <t>КП45163-1</t>
  </si>
  <si>
    <t>Сынкова</t>
  </si>
  <si>
    <t>БЕЗ РАСКРОЯ</t>
  </si>
  <si>
    <t>расп створка</t>
  </si>
  <si>
    <t>триплекс</t>
  </si>
  <si>
    <t>45 серия смл 6мм</t>
  </si>
  <si>
    <t>45 серия 4.4.1</t>
  </si>
  <si>
    <t>40 серия смл 6мм</t>
  </si>
  <si>
    <t>тяга 45 серия</t>
  </si>
  <si>
    <t>рама по периметру</t>
  </si>
  <si>
    <t>адаптер</t>
  </si>
  <si>
    <t>в раздв</t>
  </si>
  <si>
    <t>Хлысты с запасом</t>
  </si>
  <si>
    <t>Хлысты профстрой</t>
  </si>
  <si>
    <t>Анкерный болт типовой. Горячее цинкование 10/10</t>
  </si>
  <si>
    <t>10х10</t>
  </si>
  <si>
    <t>Паронит 2мм</t>
  </si>
  <si>
    <t>м.кв</t>
  </si>
  <si>
    <t>RAL 7016 матовый</t>
  </si>
  <si>
    <t>СТИЗ А</t>
  </si>
  <si>
    <t xml:space="preserve">Паронит </t>
  </si>
  <si>
    <t>Дюбель-гвоздь 6х40</t>
  </si>
  <si>
    <t>Заклепка вытяжная 4х8 мм А2/А2</t>
  </si>
  <si>
    <t>кг</t>
  </si>
  <si>
    <t>Сталь оц. 0,55мм</t>
  </si>
  <si>
    <t>верх</t>
  </si>
  <si>
    <t>низ</t>
  </si>
  <si>
    <t>бок</t>
  </si>
  <si>
    <t>центр</t>
  </si>
  <si>
    <t>периметр</t>
  </si>
  <si>
    <t>Саморез 3,9x16мм, DIN7504MA2 полукр. бур</t>
  </si>
  <si>
    <t>м.пог</t>
  </si>
  <si>
    <t>RAL 9003</t>
  </si>
  <si>
    <t>6мм стекломагнезит класс прочности "В"  2440х1220</t>
  </si>
  <si>
    <t>Лента бутиловая двухсторонняя 20мм</t>
  </si>
  <si>
    <t>оцинковка</t>
  </si>
  <si>
    <t>В заказ</t>
  </si>
  <si>
    <t>Форма 2</t>
  </si>
  <si>
    <t>Для справок</t>
  </si>
  <si>
    <t>Не забывать про запас</t>
  </si>
  <si>
    <t xml:space="preserve">По объекту: </t>
  </si>
  <si>
    <t>Жилой дом с инженерными сетями и благоустройством территории</t>
  </si>
  <si>
    <t>Адрес объекта:</t>
  </si>
  <si>
    <t>r. Москва, район Южное Медведково, ул. Полярная, з/у 4 (ул. Полярная, вл. 4) (СВАО)</t>
  </si>
  <si>
    <t>Вид работ:</t>
  </si>
  <si>
    <t>Выполнил: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</si>
  <si>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</si>
  <si>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</si>
  <si>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Подпись ________________ Ф.И.О.  Сынкова Т.С</t>
  </si>
  <si>
    <t xml:space="preserve">Сынкова Т.С. </t>
  </si>
  <si>
    <t>Лоджии ВО-5; ВО-6; ВО-6л; ВО-7; ВО-8 (168шт)</t>
  </si>
  <si>
    <r>
      <t xml:space="preserve">КЗ_СПЕЦИФИКАЦИЯ НА ЗАКУПКУ ТМЦ № </t>
    </r>
    <r>
      <rPr>
        <b/>
        <sz val="12"/>
        <color rgb="FFFF0000"/>
        <rFont val="Times New Roman"/>
        <family val="1"/>
        <charset val="204"/>
      </rPr>
      <t>01-5994</t>
    </r>
  </si>
  <si>
    <t xml:space="preserve">Хлысты </t>
  </si>
  <si>
    <t>RAL 7016 мат</t>
  </si>
  <si>
    <t>Клей Cosmo Duo</t>
  </si>
  <si>
    <t>Гидроизоляция ЭПДМ 350х1мм</t>
  </si>
  <si>
    <t>Полоса стальная 30х5мм</t>
  </si>
  <si>
    <t>Сталь оц. 0,7мм</t>
  </si>
  <si>
    <t>DIN 933 A2 М6х40</t>
  </si>
  <si>
    <t>DIN 933 A2 М6х45</t>
  </si>
  <si>
    <t>DIN 933 A2 М6х50</t>
  </si>
  <si>
    <t>Болт М6х32</t>
  </si>
  <si>
    <t>DIN 933 A2 М6х32</t>
  </si>
  <si>
    <t>DIN 933 A2 М6х70</t>
  </si>
  <si>
    <t>Болт М6х70</t>
  </si>
  <si>
    <t>Винт самосверлящий Gunnebo GT 8. 5,5х24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</si>
</sst>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EE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30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horizontal="left" wrapText="1"/>
    </xf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left" wrapText="1"/>
    </xf>
    <xf numFmtId="0" fontId="20" fillId="35" borderId="10" xfId="0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left" wrapText="1"/>
    </xf>
    <xf numFmtId="0" fontId="19" fillId="33" borderId="10" xfId="0" applyFont="1" applyFill="1" applyBorder="1" applyAlignment="1">
      <alignment horizontal="right" wrapText="1"/>
    </xf>
    <xf numFmtId="0" fontId="19" fillId="33" borderId="17" xfId="0" applyFont="1" applyFill="1" applyBorder="1" applyAlignment="1">
      <alignment wrapText="1"/>
    </xf>
    <xf numFmtId="0" fontId="19" fillId="33" borderId="18" xfId="0" applyFont="1" applyFill="1" applyBorder="1" applyAlignment="1">
      <alignment wrapText="1"/>
    </xf>
    <xf numFmtId="0" fontId="20" fillId="33" borderId="21" xfId="0" applyFont="1" applyFill="1" applyBorder="1" applyAlignment="1">
      <alignment wrapText="1"/>
    </xf>
    <xf numFmtId="0" fontId="22" fillId="36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right" vertical="top" wrapText="1"/>
    </xf>
    <xf numFmtId="0" fontId="23" fillId="33" borderId="10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9" fillId="35" borderId="16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right" wrapText="1"/>
    </xf>
    <xf numFmtId="0" fontId="19" fillId="0" borderId="1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right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38" borderId="0" xfId="0" applyFill="1"/>
    <xf numFmtId="0" fontId="19" fillId="0" borderId="23" xfId="0" applyFont="1" applyFill="1" applyBorder="1" applyAlignment="1">
      <alignment horizontal="center" wrapText="1"/>
    </xf>
    <xf numFmtId="0" fontId="19" fillId="33" borderId="23" xfId="0" applyFont="1" applyFill="1" applyBorder="1" applyAlignment="1">
      <alignment wrapText="1"/>
    </xf>
    <xf numFmtId="0" fontId="19" fillId="33" borderId="0" xfId="0" applyFont="1" applyFill="1" applyBorder="1" applyAlignment="1">
      <alignment wrapText="1"/>
    </xf>
    <xf numFmtId="0" fontId="19" fillId="35" borderId="24" xfId="0" applyFont="1" applyFill="1" applyBorder="1" applyAlignment="1">
      <alignment horizontal="left" wrapText="1"/>
    </xf>
    <xf numFmtId="0" fontId="20" fillId="35" borderId="24" xfId="0" applyFont="1" applyFill="1" applyBorder="1" applyAlignment="1">
      <alignment horizontal="right" wrapText="1"/>
    </xf>
    <xf numFmtId="0" fontId="19" fillId="35" borderId="24" xfId="0" applyFont="1" applyFill="1" applyBorder="1" applyAlignment="1">
      <alignment horizontal="center" wrapText="1"/>
    </xf>
    <xf numFmtId="0" fontId="19" fillId="35" borderId="24" xfId="0" applyFont="1" applyFill="1" applyBorder="1" applyAlignment="1">
      <alignment horizontal="right" wrapText="1"/>
    </xf>
    <xf numFmtId="0" fontId="19" fillId="35" borderId="11" xfId="0" applyFont="1" applyFill="1" applyBorder="1" applyAlignment="1">
      <alignment horizontal="left" wrapText="1"/>
    </xf>
    <xf numFmtId="0" fontId="19" fillId="35" borderId="27" xfId="0" applyFont="1" applyFill="1" applyBorder="1" applyAlignment="1">
      <alignment horizontal="left" wrapText="1"/>
    </xf>
    <xf numFmtId="0" fontId="19" fillId="35" borderId="11" xfId="0" applyFont="1" applyFill="1" applyBorder="1" applyAlignment="1">
      <alignment horizontal="center" wrapText="1"/>
    </xf>
    <xf numFmtId="0" fontId="19" fillId="35" borderId="11" xfId="0" applyFont="1" applyFill="1" applyBorder="1" applyAlignment="1">
      <alignment horizontal="right" wrapText="1"/>
    </xf>
    <xf numFmtId="0" fontId="19" fillId="35" borderId="27" xfId="0" applyFont="1" applyFill="1" applyBorder="1" applyAlignment="1">
      <alignment horizontal="right" wrapText="1"/>
    </xf>
    <xf numFmtId="0" fontId="19" fillId="33" borderId="24" xfId="0" applyFont="1" applyFill="1" applyBorder="1" applyAlignment="1">
      <alignment horizontal="left" wrapText="1"/>
    </xf>
    <xf numFmtId="0" fontId="19" fillId="35" borderId="16" xfId="0" applyFont="1" applyFill="1" applyBorder="1" applyAlignment="1">
      <alignment horizontal="right" wrapText="1"/>
    </xf>
    <xf numFmtId="0" fontId="0" fillId="0" borderId="24" xfId="0" applyBorder="1" applyAlignment="1">
      <alignment horizontal="center" vertical="center"/>
    </xf>
    <xf numFmtId="0" fontId="0" fillId="38" borderId="2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/>
    <xf numFmtId="0" fontId="0" fillId="39" borderId="0" xfId="0" applyFill="1"/>
    <xf numFmtId="2" fontId="0" fillId="39" borderId="0" xfId="0" applyNumberFormat="1" applyFill="1"/>
    <xf numFmtId="0" fontId="19" fillId="33" borderId="13" xfId="0" applyFont="1" applyFill="1" applyBorder="1" applyAlignment="1">
      <alignment horizontal="center" wrapText="1"/>
    </xf>
    <xf numFmtId="0" fontId="19" fillId="37" borderId="10" xfId="0" applyFont="1" applyFill="1" applyBorder="1" applyAlignment="1">
      <alignment horizontal="left" wrapText="1"/>
    </xf>
    <xf numFmtId="0" fontId="0" fillId="0" borderId="24" xfId="0" applyFill="1" applyBorder="1"/>
    <xf numFmtId="0" fontId="19" fillId="37" borderId="24" xfId="0" applyFont="1" applyFill="1" applyBorder="1" applyAlignment="1">
      <alignment horizontal="left" wrapText="1"/>
    </xf>
    <xf numFmtId="0" fontId="19" fillId="37" borderId="27" xfId="0" applyFont="1" applyFill="1" applyBorder="1" applyAlignment="1">
      <alignment horizontal="left" wrapText="1"/>
    </xf>
    <xf numFmtId="0" fontId="0" fillId="0" borderId="0" xfId="0"/>
    <xf numFmtId="2" fontId="0" fillId="38" borderId="24" xfId="0" applyNumberForma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right" wrapText="1"/>
    </xf>
    <xf numFmtId="0" fontId="19" fillId="33" borderId="25" xfId="0" applyFont="1" applyFill="1" applyBorder="1" applyAlignment="1">
      <alignment horizontal="right" wrapText="1"/>
    </xf>
    <xf numFmtId="0" fontId="19" fillId="33" borderId="24" xfId="0" applyFont="1" applyFill="1" applyBorder="1" applyAlignment="1">
      <alignment wrapText="1"/>
    </xf>
    <xf numFmtId="0" fontId="19" fillId="33" borderId="11" xfId="0" applyFont="1" applyFill="1" applyBorder="1" applyAlignment="1">
      <alignment horizontal="left" wrapText="1"/>
    </xf>
    <xf numFmtId="0" fontId="19" fillId="33" borderId="11" xfId="0" applyFont="1" applyFill="1" applyBorder="1" applyAlignment="1">
      <alignment horizontal="right" wrapText="1"/>
    </xf>
    <xf numFmtId="0" fontId="0" fillId="38" borderId="27" xfId="0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center" wrapText="1"/>
    </xf>
    <xf numFmtId="0" fontId="0" fillId="39" borderId="24" xfId="0" applyFill="1" applyBorder="1"/>
    <xf numFmtId="0" fontId="0" fillId="0" borderId="24" xfId="0" applyBorder="1"/>
    <xf numFmtId="0" fontId="19" fillId="33" borderId="28" xfId="0" applyFont="1" applyFill="1" applyBorder="1" applyAlignment="1">
      <alignment horizontal="center" wrapText="1"/>
    </xf>
    <xf numFmtId="2" fontId="0" fillId="0" borderId="0" xfId="0" applyNumberFormat="1" applyFill="1"/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6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wrapText="1"/>
    </xf>
    <xf numFmtId="0" fontId="19" fillId="33" borderId="14" xfId="0" applyFont="1" applyFill="1" applyBorder="1" applyAlignment="1">
      <alignment wrapText="1"/>
    </xf>
    <xf numFmtId="0" fontId="19" fillId="33" borderId="15" xfId="0" applyFont="1" applyFill="1" applyBorder="1" applyAlignment="1">
      <alignment wrapText="1"/>
    </xf>
    <xf numFmtId="0" fontId="19" fillId="33" borderId="17" xfId="0" applyFont="1" applyFill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19" fillId="33" borderId="18" xfId="0" applyFont="1" applyFill="1" applyBorder="1" applyAlignment="1">
      <alignment wrapText="1"/>
    </xf>
    <xf numFmtId="0" fontId="19" fillId="0" borderId="13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33" borderId="25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horizontal="center" wrapText="1"/>
    </xf>
    <xf numFmtId="0" fontId="19" fillId="33" borderId="24" xfId="0" applyFont="1" applyFill="1" applyBorder="1" applyAlignment="1">
      <alignment wrapText="1"/>
    </xf>
    <xf numFmtId="0" fontId="0" fillId="0" borderId="0" xfId="0"/>
    <xf numFmtId="14" fontId="0" fillId="0" borderId="24" xfId="0" applyNumberFormat="1" applyFill="1" applyBorder="1" applyAlignment="1">
      <alignment horizontal="center" vertical="center"/>
    </xf>
    <xf numFmtId="0" fontId="0" fillId="38" borderId="0" xfId="0" applyFill="1" applyAlignment="1">
      <alignment horizontal="center" vertical="center"/>
    </xf>
    <xf numFmtId="3" fontId="0" fillId="38" borderId="24" xfId="0" applyNumberForma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3" fontId="0" fillId="0" borderId="0" xfId="0" applyNumberFormat="1"/>
    <xf numFmtId="0" fontId="19" fillId="37" borderId="16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3" fontId="19" fillId="40" borderId="10" xfId="0" applyNumberFormat="1" applyFont="1" applyFill="1" applyBorder="1" applyAlignment="1">
      <alignment horizontal="center" vertical="center" wrapText="1"/>
    </xf>
    <xf numFmtId="3" fontId="19" fillId="33" borderId="18" xfId="0" applyNumberFormat="1" applyFont="1" applyFill="1" applyBorder="1" applyAlignment="1">
      <alignment wrapText="1"/>
    </xf>
    <xf numFmtId="3" fontId="20" fillId="33" borderId="21" xfId="0" applyNumberFormat="1" applyFont="1" applyFill="1" applyBorder="1" applyAlignment="1">
      <alignment wrapText="1"/>
    </xf>
    <xf numFmtId="3" fontId="19" fillId="33" borderId="0" xfId="0" applyNumberFormat="1" applyFont="1" applyFill="1" applyBorder="1" applyAlignment="1">
      <alignment wrapText="1"/>
    </xf>
    <xf numFmtId="0" fontId="20" fillId="33" borderId="0" xfId="0" applyFont="1" applyFill="1" applyBorder="1" applyAlignment="1">
      <alignment wrapText="1"/>
    </xf>
    <xf numFmtId="3" fontId="20" fillId="33" borderId="0" xfId="0" applyNumberFormat="1" applyFont="1" applyFill="1" applyBorder="1" applyAlignment="1">
      <alignment wrapText="1"/>
    </xf>
    <xf numFmtId="0" fontId="19" fillId="0" borderId="13" xfId="0" applyFont="1" applyFill="1" applyBorder="1" applyAlignment="1">
      <alignment horizontal="center" wrapText="1"/>
    </xf>
    <xf numFmtId="0" fontId="19" fillId="33" borderId="17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19" fillId="40" borderId="24" xfId="0" applyFont="1" applyFill="1" applyBorder="1" applyAlignment="1">
      <alignment wrapText="1"/>
    </xf>
    <xf numFmtId="3" fontId="19" fillId="40" borderId="24" xfId="0" applyNumberFormat="1" applyFont="1" applyFill="1" applyBorder="1" applyAlignment="1">
      <alignment wrapText="1"/>
    </xf>
    <xf numFmtId="0" fontId="19" fillId="33" borderId="27" xfId="0" applyFont="1" applyFill="1" applyBorder="1" applyAlignment="1">
      <alignment wrapText="1"/>
    </xf>
    <xf numFmtId="0" fontId="19" fillId="40" borderId="27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9" fillId="35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/>
    <xf numFmtId="3" fontId="19" fillId="0" borderId="24" xfId="0" applyNumberFormat="1" applyFont="1" applyFill="1" applyBorder="1" applyAlignment="1">
      <alignment wrapText="1"/>
    </xf>
    <xf numFmtId="0" fontId="19" fillId="0" borderId="11" xfId="0" applyFont="1" applyFill="1" applyBorder="1" applyAlignment="1">
      <alignment horizontal="left" wrapText="1"/>
    </xf>
    <xf numFmtId="0" fontId="19" fillId="0" borderId="24" xfId="0" applyFont="1" applyFill="1" applyBorder="1" applyAlignment="1">
      <alignment horizontal="left" wrapText="1"/>
    </xf>
    <xf numFmtId="0" fontId="19" fillId="0" borderId="27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wrapText="1"/>
    </xf>
    <xf numFmtId="0" fontId="20" fillId="0" borderId="24" xfId="0" applyFont="1" applyFill="1" applyBorder="1" applyAlignment="1">
      <alignment horizontal="right" wrapText="1"/>
    </xf>
    <xf numFmtId="0" fontId="19" fillId="0" borderId="24" xfId="0" applyFont="1" applyFill="1" applyBorder="1" applyAlignment="1">
      <alignment horizontal="center" wrapText="1"/>
    </xf>
    <xf numFmtId="0" fontId="19" fillId="0" borderId="24" xfId="0" applyFont="1" applyFill="1" applyBorder="1" applyAlignment="1">
      <alignment horizontal="right" wrapText="1"/>
    </xf>
    <xf numFmtId="0" fontId="19" fillId="0" borderId="11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wrapText="1"/>
    </xf>
    <xf numFmtId="0" fontId="19" fillId="0" borderId="18" xfId="0" applyFont="1" applyFill="1" applyBorder="1" applyAlignment="1">
      <alignment wrapText="1"/>
    </xf>
    <xf numFmtId="0" fontId="20" fillId="0" borderId="21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19" fillId="0" borderId="11" xfId="0" applyFont="1" applyFill="1" applyBorder="1" applyAlignment="1">
      <alignment horizontal="right" wrapText="1"/>
    </xf>
    <xf numFmtId="0" fontId="19" fillId="0" borderId="17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wrapText="1"/>
    </xf>
    <xf numFmtId="0" fontId="19" fillId="0" borderId="25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wrapText="1"/>
    </xf>
    <xf numFmtId="0" fontId="19" fillId="0" borderId="27" xfId="0" applyFont="1" applyFill="1" applyBorder="1" applyAlignment="1">
      <alignment horizontal="right" wrapText="1"/>
    </xf>
    <xf numFmtId="0" fontId="0" fillId="0" borderId="0" xfId="0" applyAlignment="1"/>
    <xf numFmtId="0" fontId="0" fillId="40" borderId="24" xfId="0" applyFill="1" applyBorder="1"/>
    <xf numFmtId="0" fontId="27" fillId="0" borderId="24" xfId="0" applyFont="1" applyBorder="1" applyAlignment="1">
      <alignment vertical="center"/>
    </xf>
    <xf numFmtId="0" fontId="0" fillId="41" borderId="24" xfId="0" applyFill="1" applyBorder="1"/>
    <xf numFmtId="0" fontId="29" fillId="42" borderId="24" xfId="42" applyFont="1" applyFill="1" applyBorder="1" applyAlignment="1">
      <alignment vertical="top" wrapText="1"/>
    </xf>
    <xf numFmtId="0" fontId="27" fillId="0" borderId="24" xfId="42" applyFont="1" applyBorder="1" applyAlignment="1">
      <alignment vertical="center" wrapText="1"/>
    </xf>
    <xf numFmtId="0" fontId="31" fillId="0" borderId="24" xfId="43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9" fillId="0" borderId="25" xfId="0" applyFont="1" applyFill="1" applyBorder="1" applyAlignment="1">
      <alignment horizontal="right" wrapText="1"/>
    </xf>
    <xf numFmtId="0" fontId="0" fillId="0" borderId="25" xfId="0" applyBorder="1"/>
    <xf numFmtId="0" fontId="0" fillId="0" borderId="0" xfId="0" applyFill="1" applyBorder="1"/>
    <xf numFmtId="0" fontId="0" fillId="0" borderId="0" xfId="0" applyFill="1" applyBorder="1" applyAlignment="1"/>
    <xf numFmtId="0" fontId="0" fillId="0" borderId="27" xfId="0" applyBorder="1"/>
    <xf numFmtId="0" fontId="0" fillId="0" borderId="29" xfId="0" applyBorder="1"/>
    <xf numFmtId="0" fontId="19" fillId="0" borderId="13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19" fillId="0" borderId="25" xfId="0" applyFont="1" applyFill="1" applyBorder="1" applyAlignment="1">
      <alignment horizontal="center" wrapText="1"/>
    </xf>
    <xf numFmtId="0" fontId="19" fillId="0" borderId="26" xfId="0" applyFont="1" applyFill="1" applyBorder="1" applyAlignment="1">
      <alignment horizontal="center" wrapText="1"/>
    </xf>
    <xf numFmtId="0" fontId="19" fillId="0" borderId="24" xfId="0" applyFont="1" applyFill="1" applyBorder="1" applyAlignment="1">
      <alignment wrapText="1"/>
    </xf>
    <xf numFmtId="0" fontId="19" fillId="0" borderId="24" xfId="0" applyFont="1" applyFill="1" applyBorder="1" applyAlignment="1">
      <alignment horizontal="center" wrapText="1"/>
    </xf>
    <xf numFmtId="0" fontId="0" fillId="0" borderId="0" xfId="0"/>
    <xf numFmtId="0" fontId="19" fillId="33" borderId="24" xfId="0" applyFont="1" applyFill="1" applyBorder="1" applyAlignment="1">
      <alignment wrapText="1"/>
    </xf>
    <xf numFmtId="3" fontId="0" fillId="0" borderId="0" xfId="0" applyNumberFormat="1" applyFill="1" applyBorder="1"/>
    <xf numFmtId="3" fontId="19" fillId="0" borderId="18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wrapText="1"/>
    </xf>
    <xf numFmtId="3" fontId="19" fillId="0" borderId="0" xfId="0" applyNumberFormat="1" applyFont="1" applyFill="1" applyBorder="1" applyAlignment="1">
      <alignment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3" fontId="20" fillId="0" borderId="21" xfId="0" applyNumberFormat="1" applyFont="1" applyFill="1" applyBorder="1" applyAlignment="1">
      <alignment wrapText="1"/>
    </xf>
    <xf numFmtId="0" fontId="19" fillId="0" borderId="13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left" wrapText="1"/>
    </xf>
    <xf numFmtId="0" fontId="19" fillId="0" borderId="15" xfId="0" applyFont="1" applyFill="1" applyBorder="1" applyAlignment="1">
      <alignment horizontal="left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13" xfId="0" applyFont="1" applyFill="1" applyBorder="1" applyAlignment="1">
      <alignment horizontal="center" wrapText="1"/>
    </xf>
    <xf numFmtId="0" fontId="22" fillId="36" borderId="15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wrapText="1"/>
    </xf>
    <xf numFmtId="0" fontId="20" fillId="0" borderId="21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20" fillId="33" borderId="20" xfId="0" applyFont="1" applyFill="1" applyBorder="1" applyAlignment="1">
      <alignment horizontal="center" wrapText="1"/>
    </xf>
    <xf numFmtId="0" fontId="20" fillId="33" borderId="21" xfId="0" applyFont="1" applyFill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13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19" fillId="0" borderId="17" xfId="0" applyFont="1" applyFill="1" applyBorder="1" applyAlignment="1">
      <alignment wrapText="1"/>
    </xf>
    <xf numFmtId="0" fontId="19" fillId="0" borderId="19" xfId="0" applyFont="1" applyFill="1" applyBorder="1" applyAlignment="1">
      <alignment wrapText="1"/>
    </xf>
    <xf numFmtId="0" fontId="19" fillId="0" borderId="25" xfId="0" applyFont="1" applyFill="1" applyBorder="1" applyAlignment="1">
      <alignment horizontal="center" wrapText="1"/>
    </xf>
    <xf numFmtId="0" fontId="19" fillId="0" borderId="26" xfId="0" applyFont="1" applyFill="1" applyBorder="1" applyAlignment="1">
      <alignment horizontal="center" wrapText="1"/>
    </xf>
    <xf numFmtId="0" fontId="19" fillId="0" borderId="24" xfId="0" applyFont="1" applyFill="1" applyBorder="1" applyAlignment="1">
      <alignment wrapText="1"/>
    </xf>
    <xf numFmtId="0" fontId="0" fillId="0" borderId="24" xfId="0" applyBorder="1" applyAlignment="1">
      <alignment horizontal="center"/>
    </xf>
    <xf numFmtId="0" fontId="19" fillId="40" borderId="17" xfId="0" applyFont="1" applyFill="1" applyBorder="1" applyAlignment="1">
      <alignment horizontal="center" vertical="center" wrapText="1"/>
    </xf>
    <xf numFmtId="0" fontId="19" fillId="40" borderId="18" xfId="0" applyFont="1" applyFill="1" applyBorder="1" applyAlignment="1">
      <alignment horizontal="center" vertical="center" wrapText="1"/>
    </xf>
    <xf numFmtId="0" fontId="19" fillId="40" borderId="19" xfId="0" applyFont="1" applyFill="1" applyBorder="1" applyAlignment="1">
      <alignment horizontal="center" vertical="center" wrapText="1"/>
    </xf>
    <xf numFmtId="0" fontId="19" fillId="40" borderId="20" xfId="0" applyFont="1" applyFill="1" applyBorder="1" applyAlignment="1">
      <alignment horizontal="center" vertical="center" wrapText="1"/>
    </xf>
    <xf numFmtId="0" fontId="19" fillId="40" borderId="21" xfId="0" applyFont="1" applyFill="1" applyBorder="1" applyAlignment="1">
      <alignment horizontal="center" vertical="center" wrapText="1"/>
    </xf>
    <xf numFmtId="0" fontId="19" fillId="40" borderId="22" xfId="0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wrapText="1"/>
    </xf>
    <xf numFmtId="0" fontId="19" fillId="34" borderId="17" xfId="0" applyFont="1" applyFill="1" applyBorder="1" applyAlignment="1">
      <alignment horizontal="center" wrapText="1"/>
    </xf>
    <xf numFmtId="0" fontId="19" fillId="34" borderId="19" xfId="0" applyFont="1" applyFill="1" applyBorder="1" applyAlignment="1">
      <alignment horizontal="center" wrapText="1"/>
    </xf>
    <xf numFmtId="0" fontId="19" fillId="34" borderId="20" xfId="0" applyFont="1" applyFill="1" applyBorder="1" applyAlignment="1">
      <alignment horizontal="center" wrapText="1"/>
    </xf>
    <xf numFmtId="0" fontId="19" fillId="34" borderId="22" xfId="0" applyFont="1" applyFill="1" applyBorder="1" applyAlignment="1">
      <alignment horizontal="center" wrapText="1"/>
    </xf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8" xfId="0" applyFont="1" applyFill="1" applyBorder="1" applyAlignment="1">
      <alignment horizontal="center" wrapText="1"/>
    </xf>
    <xf numFmtId="0" fontId="19" fillId="34" borderId="21" xfId="0" applyFont="1" applyFill="1" applyBorder="1" applyAlignment="1">
      <alignment horizontal="center" wrapText="1"/>
    </xf>
    <xf numFmtId="0" fontId="27" fillId="0" borderId="24" xfId="42" applyFont="1" applyBorder="1" applyAlignment="1">
      <alignment horizontal="center" vertical="center"/>
    </xf>
    <xf numFmtId="0" fontId="29" fillId="42" borderId="24" xfId="42" applyFont="1" applyFill="1" applyBorder="1" applyAlignment="1">
      <alignment horizontal="left" vertical="top"/>
    </xf>
    <xf numFmtId="0" fontId="27" fillId="0" borderId="24" xfId="42" applyFont="1" applyBorder="1" applyAlignment="1">
      <alignment horizontal="left" vertical="center" wrapText="1"/>
    </xf>
    <xf numFmtId="0" fontId="31" fillId="0" borderId="24" xfId="43" applyFont="1" applyBorder="1" applyAlignment="1">
      <alignment horizontal="left" vertical="center" wrapText="1"/>
    </xf>
    <xf numFmtId="0" fontId="19" fillId="34" borderId="16" xfId="0" applyFont="1" applyFill="1" applyBorder="1" applyAlignment="1">
      <alignment horizontal="center" wrapText="1"/>
    </xf>
    <xf numFmtId="3" fontId="19" fillId="40" borderId="11" xfId="0" applyNumberFormat="1" applyFont="1" applyFill="1" applyBorder="1" applyAlignment="1">
      <alignment horizontal="center" vertical="center" wrapText="1"/>
    </xf>
    <xf numFmtId="3" fontId="19" fillId="40" borderId="1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/>
    <xf numFmtId="0" fontId="19" fillId="33" borderId="13" xfId="0" applyFont="1" applyFill="1" applyBorder="1" applyAlignment="1">
      <alignment horizontal="left" wrapText="1"/>
    </xf>
    <xf numFmtId="0" fontId="19" fillId="33" borderId="14" xfId="0" applyFont="1" applyFill="1" applyBorder="1" applyAlignment="1">
      <alignment horizontal="left" wrapText="1"/>
    </xf>
    <xf numFmtId="0" fontId="19" fillId="33" borderId="15" xfId="0" applyFont="1" applyFill="1" applyBorder="1" applyAlignment="1">
      <alignment horizontal="left" wrapText="1"/>
    </xf>
    <xf numFmtId="0" fontId="20" fillId="35" borderId="25" xfId="0" applyFont="1" applyFill="1" applyBorder="1" applyAlignment="1">
      <alignment horizontal="center" wrapText="1"/>
    </xf>
    <xf numFmtId="0" fontId="20" fillId="35" borderId="26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wrapText="1"/>
    </xf>
    <xf numFmtId="0" fontId="19" fillId="33" borderId="15" xfId="0" applyFont="1" applyFill="1" applyBorder="1" applyAlignment="1">
      <alignment wrapText="1"/>
    </xf>
    <xf numFmtId="0" fontId="19" fillId="33" borderId="17" xfId="0" applyFont="1" applyFill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19" fillId="33" borderId="24" xfId="0" applyFont="1" applyFill="1" applyBorder="1" applyAlignment="1">
      <alignment horizontal="center" wrapText="1"/>
    </xf>
    <xf numFmtId="0" fontId="19" fillId="33" borderId="24" xfId="0" applyFont="1" applyFill="1" applyBorder="1" applyAlignment="1">
      <alignment wrapText="1"/>
    </xf>
    <xf numFmtId="0" fontId="19" fillId="33" borderId="25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horizontal="center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A0288D20-6FD3-496A-8000-A5360CB2CC93}"/>
    <cellStyle name="Обычный 4" xfId="43" xr:uid="{5ACE4385-91B7-462B-864D-C92CD6A7D4B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F034F0F-C670-4DD8-B6D6-055F5222C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3590924" cy="73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2"/>
  <sheetViews>
    <sheetView showGridLines="0" tabSelected="1" topLeftCell="A105" zoomScaleNormal="100" workbookViewId="0">
      <selection activeCell="L124" sqref="L124:L128"/>
    </sheetView>
  </sheetViews>
  <sheetFormatPr defaultRowHeight="15" x14ac:dyDescent="0.25"/>
  <cols>
    <col min="1" max="1" width="22.140625" customWidth="1"/>
    <col min="2" max="2" width="25" customWidth="1"/>
    <col min="3" max="3" width="43" customWidth="1"/>
    <col min="4" max="4" width="18.28515625" customWidth="1"/>
    <col min="5" max="5" width="13" customWidth="1"/>
    <col min="6" max="6" width="14.28515625" customWidth="1"/>
    <col min="7" max="7" width="8.85546875" customWidth="1"/>
    <col min="8" max="8" width="11.140625" customWidth="1"/>
    <col min="9" max="9" width="9.7109375" hidden="1" customWidth="1"/>
    <col min="10" max="10" width="6.140625" hidden="1" customWidth="1"/>
    <col min="11" max="11" width="8" style="82" customWidth="1"/>
    <col min="12" max="12" width="10.42578125" style="109" customWidth="1"/>
    <col min="13" max="13" width="9.28515625" hidden="1" customWidth="1"/>
    <col min="14" max="14" width="11.140625" style="28" hidden="1" customWidth="1"/>
    <col min="15" max="15" width="21.140625" style="84" hidden="1" customWidth="1"/>
    <col min="16" max="16" width="9.140625" style="26" hidden="1" customWidth="1"/>
    <col min="17" max="18" width="9.140625" hidden="1" customWidth="1"/>
    <col min="19" max="19" width="0" hidden="1" customWidth="1"/>
  </cols>
  <sheetData>
    <row r="1" spans="1:16" s="82" customFormat="1" x14ac:dyDescent="0.25">
      <c r="L1" s="109"/>
      <c r="N1" s="28"/>
      <c r="O1" s="84"/>
      <c r="P1" s="26"/>
    </row>
    <row r="2" spans="1:16" s="82" customFormat="1" ht="15.75" x14ac:dyDescent="0.25">
      <c r="A2" s="64"/>
      <c r="B2" s="139"/>
      <c r="C2" s="105"/>
      <c r="D2" s="140"/>
      <c r="E2" s="130"/>
      <c r="F2" s="64" t="s">
        <v>251</v>
      </c>
      <c r="H2" s="131" t="s">
        <v>252</v>
      </c>
      <c r="I2" s="105"/>
      <c r="J2" s="105"/>
      <c r="K2" s="105"/>
      <c r="L2" s="152"/>
      <c r="N2" s="28"/>
      <c r="O2" s="84"/>
      <c r="P2" s="26"/>
    </row>
    <row r="3" spans="1:16" s="82" customFormat="1" x14ac:dyDescent="0.25">
      <c r="A3" s="64"/>
      <c r="B3" s="139"/>
      <c r="C3" s="105"/>
      <c r="D3" s="140"/>
      <c r="E3" s="132"/>
      <c r="F3" s="64" t="s">
        <v>253</v>
      </c>
      <c r="I3" s="105"/>
      <c r="J3" s="105"/>
      <c r="K3" s="105"/>
      <c r="L3" s="152"/>
      <c r="N3" s="28"/>
      <c r="O3" s="84"/>
      <c r="P3" s="26"/>
    </row>
    <row r="4" spans="1:16" s="82" customFormat="1" x14ac:dyDescent="0.25">
      <c r="A4" s="64"/>
      <c r="B4" s="139"/>
      <c r="C4" s="105"/>
      <c r="D4" s="141"/>
      <c r="E4" s="181" t="s">
        <v>254</v>
      </c>
      <c r="F4" s="181"/>
      <c r="I4" s="105"/>
      <c r="J4" s="105"/>
      <c r="K4" s="105"/>
      <c r="L4" s="152"/>
      <c r="N4" s="28"/>
      <c r="O4" s="84"/>
      <c r="P4" s="26"/>
    </row>
    <row r="5" spans="1:16" s="82" customFormat="1" x14ac:dyDescent="0.25">
      <c r="A5" s="142"/>
      <c r="B5" s="143"/>
      <c r="C5" s="105"/>
      <c r="D5" s="105"/>
      <c r="I5" s="105"/>
      <c r="J5" s="105"/>
      <c r="K5" s="105"/>
      <c r="L5" s="152"/>
      <c r="N5" s="28"/>
      <c r="O5" s="84"/>
      <c r="P5" s="26"/>
    </row>
    <row r="6" spans="1:16" s="82" customFormat="1" ht="15.75" x14ac:dyDescent="0.25">
      <c r="A6" s="199" t="s">
        <v>266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N6" s="28"/>
      <c r="O6" s="84"/>
      <c r="P6" s="26"/>
    </row>
    <row r="7" spans="1:16" s="82" customFormat="1" ht="15.75" x14ac:dyDescent="0.25">
      <c r="A7" s="133" t="s">
        <v>255</v>
      </c>
      <c r="B7" s="200" t="s">
        <v>256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N7" s="28"/>
      <c r="O7" s="84"/>
      <c r="P7" s="26"/>
    </row>
    <row r="8" spans="1:16" ht="19.5" customHeight="1" x14ac:dyDescent="0.25">
      <c r="A8" s="134" t="s">
        <v>257</v>
      </c>
      <c r="B8" s="201" t="s">
        <v>258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82"/>
      <c r="N8" s="26"/>
      <c r="O8" s="27"/>
    </row>
    <row r="9" spans="1:16" s="18" customFormat="1" ht="31.5" customHeight="1" x14ac:dyDescent="0.25">
      <c r="A9" s="135" t="s">
        <v>259</v>
      </c>
      <c r="B9" s="202" t="s">
        <v>265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N9" s="26"/>
      <c r="O9" s="27"/>
      <c r="P9" s="26"/>
    </row>
    <row r="10" spans="1:16" s="18" customFormat="1" ht="15" customHeight="1" x14ac:dyDescent="0.25">
      <c r="A10" s="135" t="s">
        <v>260</v>
      </c>
      <c r="B10" s="202" t="s">
        <v>264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N10" s="26"/>
      <c r="O10" s="27"/>
      <c r="P10" s="26"/>
    </row>
    <row r="11" spans="1:16" s="18" customFormat="1" x14ac:dyDescent="0.25">
      <c r="A11" s="1"/>
      <c r="B11" s="82"/>
      <c r="C11" s="82"/>
      <c r="D11" s="129"/>
      <c r="E11" s="129"/>
      <c r="F11" s="82"/>
      <c r="G11" s="82"/>
      <c r="H11" s="82"/>
      <c r="I11" s="82"/>
      <c r="J11" s="82"/>
      <c r="K11" s="82"/>
      <c r="L11" s="109"/>
      <c r="N11" s="26"/>
      <c r="O11" s="27"/>
      <c r="P11" s="26"/>
    </row>
    <row r="12" spans="1:16" ht="15" customHeight="1" x14ac:dyDescent="0.25">
      <c r="A12" s="195" t="s">
        <v>1</v>
      </c>
      <c r="B12" s="195" t="s">
        <v>2</v>
      </c>
      <c r="C12" s="195" t="s">
        <v>3</v>
      </c>
      <c r="D12" s="191" t="s">
        <v>4</v>
      </c>
      <c r="E12" s="197"/>
      <c r="F12" s="192"/>
      <c r="G12" s="191" t="s">
        <v>5</v>
      </c>
      <c r="H12" s="192"/>
      <c r="I12" s="191" t="s">
        <v>228</v>
      </c>
      <c r="J12" s="192"/>
      <c r="K12" s="182" t="s">
        <v>267</v>
      </c>
      <c r="L12" s="183"/>
      <c r="M12" s="184"/>
      <c r="N12" s="51" t="s">
        <v>212</v>
      </c>
      <c r="O12" s="83">
        <v>45722</v>
      </c>
    </row>
    <row r="13" spans="1:16" x14ac:dyDescent="0.25">
      <c r="A13" s="203"/>
      <c r="B13" s="203"/>
      <c r="C13" s="203"/>
      <c r="D13" s="193"/>
      <c r="E13" s="198"/>
      <c r="F13" s="194"/>
      <c r="G13" s="193"/>
      <c r="H13" s="194"/>
      <c r="I13" s="193"/>
      <c r="J13" s="194"/>
      <c r="K13" s="185"/>
      <c r="L13" s="186"/>
      <c r="M13" s="187"/>
      <c r="N13" s="51"/>
      <c r="O13" s="45" t="s">
        <v>217</v>
      </c>
    </row>
    <row r="14" spans="1:16" x14ac:dyDescent="0.25">
      <c r="A14" s="203"/>
      <c r="B14" s="203"/>
      <c r="C14" s="203"/>
      <c r="D14" s="195" t="s">
        <v>9</v>
      </c>
      <c r="E14" s="195" t="s">
        <v>10</v>
      </c>
      <c r="F14" s="195" t="s">
        <v>11</v>
      </c>
      <c r="G14" s="195" t="s">
        <v>12</v>
      </c>
      <c r="H14" s="195" t="s">
        <v>13</v>
      </c>
      <c r="I14" s="3" t="s">
        <v>14</v>
      </c>
      <c r="J14" s="195" t="s">
        <v>12</v>
      </c>
      <c r="K14" s="118" t="s">
        <v>14</v>
      </c>
      <c r="L14" s="188" t="s">
        <v>12</v>
      </c>
      <c r="M14" s="156" t="s">
        <v>7</v>
      </c>
      <c r="N14" s="51" t="s">
        <v>211</v>
      </c>
      <c r="O14" s="45" t="s">
        <v>216</v>
      </c>
    </row>
    <row r="15" spans="1:16" x14ac:dyDescent="0.25">
      <c r="A15" s="196"/>
      <c r="B15" s="196"/>
      <c r="C15" s="196"/>
      <c r="D15" s="196"/>
      <c r="E15" s="196"/>
      <c r="F15" s="196"/>
      <c r="G15" s="196"/>
      <c r="H15" s="196"/>
      <c r="I15" s="4" t="s">
        <v>15</v>
      </c>
      <c r="J15" s="196"/>
      <c r="K15" s="157" t="s">
        <v>15</v>
      </c>
      <c r="L15" s="189"/>
      <c r="M15" s="158"/>
      <c r="N15" s="51" t="s">
        <v>199</v>
      </c>
      <c r="O15" s="45">
        <f>48+24+24+72</f>
        <v>168</v>
      </c>
    </row>
    <row r="16" spans="1:16" s="18" customForma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75"/>
      <c r="L16" s="153"/>
      <c r="M16" s="12"/>
      <c r="N16" s="26"/>
      <c r="O16" s="27"/>
      <c r="P16" s="26"/>
    </row>
    <row r="17" spans="1:16" s="18" customFormat="1" x14ac:dyDescent="0.25">
      <c r="A17" s="171" t="s">
        <v>16</v>
      </c>
      <c r="B17" s="172"/>
      <c r="C17" s="13"/>
      <c r="D17" s="13"/>
      <c r="E17" s="13"/>
      <c r="F17" s="13"/>
      <c r="G17" s="13"/>
      <c r="H17" s="13"/>
      <c r="I17" s="13"/>
      <c r="J17" s="13"/>
      <c r="K17" s="13"/>
      <c r="L17" s="159"/>
      <c r="M17" s="13"/>
      <c r="N17" s="26"/>
      <c r="O17" s="27"/>
      <c r="P17" s="26"/>
    </row>
    <row r="18" spans="1:16" x14ac:dyDescent="0.25">
      <c r="A18" s="22" t="s">
        <v>17</v>
      </c>
      <c r="B18" s="22" t="s">
        <v>213</v>
      </c>
      <c r="C18" s="22" t="s">
        <v>18</v>
      </c>
      <c r="D18" s="22" t="s">
        <v>233</v>
      </c>
      <c r="E18" s="22" t="s">
        <v>268</v>
      </c>
      <c r="F18" s="22" t="s">
        <v>268</v>
      </c>
      <c r="G18" s="23">
        <f>L18*6</f>
        <v>1326</v>
      </c>
      <c r="H18" s="24" t="s">
        <v>20</v>
      </c>
      <c r="I18" s="25">
        <v>6000</v>
      </c>
      <c r="J18" s="25">
        <v>208</v>
      </c>
      <c r="K18" s="25">
        <v>6000</v>
      </c>
      <c r="L18" s="90">
        <f>_xlfn.CEILING.MATH(P18)</f>
        <v>221</v>
      </c>
      <c r="M18" s="8">
        <v>0.44600000000000001</v>
      </c>
      <c r="N18" s="44">
        <v>210</v>
      </c>
      <c r="O18" s="85">
        <f>(0.893*6*72+0.958*8*48+0.813*8*24+0.908*8*24)/6</f>
        <v>180.67999999999998</v>
      </c>
      <c r="P18" s="26">
        <f>N18*1.05</f>
        <v>220.5</v>
      </c>
    </row>
    <row r="19" spans="1:16" x14ac:dyDescent="0.25">
      <c r="A19" s="22" t="s">
        <v>17</v>
      </c>
      <c r="B19" s="22" t="s">
        <v>214</v>
      </c>
      <c r="C19" s="22" t="s">
        <v>21</v>
      </c>
      <c r="D19" s="22" t="s">
        <v>233</v>
      </c>
      <c r="E19" s="22" t="s">
        <v>268</v>
      </c>
      <c r="F19" s="22" t="s">
        <v>268</v>
      </c>
      <c r="G19" s="23">
        <f t="shared" ref="G19:G47" si="0">L19*6</f>
        <v>948</v>
      </c>
      <c r="H19" s="24" t="s">
        <v>20</v>
      </c>
      <c r="I19" s="25">
        <v>6000</v>
      </c>
      <c r="J19" s="25">
        <v>135</v>
      </c>
      <c r="K19" s="25">
        <v>6000</v>
      </c>
      <c r="L19" s="90">
        <f t="shared" ref="L19:L60" si="1">_xlfn.CEILING.MATH(P19)</f>
        <v>158</v>
      </c>
      <c r="M19" s="8">
        <v>0.55200000000000005</v>
      </c>
      <c r="N19" s="44">
        <v>150</v>
      </c>
      <c r="O19" s="85">
        <f>(1.166*4*168)/6</f>
        <v>130.59199999999998</v>
      </c>
      <c r="P19" s="26">
        <f t="shared" ref="P19:P44" si="2">N19*1.05</f>
        <v>157.5</v>
      </c>
    </row>
    <row r="20" spans="1:16" x14ac:dyDescent="0.25">
      <c r="A20" s="22" t="s">
        <v>17</v>
      </c>
      <c r="B20" s="22" t="s">
        <v>215</v>
      </c>
      <c r="C20" s="22" t="s">
        <v>22</v>
      </c>
      <c r="D20" s="22" t="s">
        <v>233</v>
      </c>
      <c r="E20" s="22" t="s">
        <v>268</v>
      </c>
      <c r="F20" s="22" t="s">
        <v>268</v>
      </c>
      <c r="G20" s="23">
        <f t="shared" si="0"/>
        <v>708</v>
      </c>
      <c r="H20" s="24" t="s">
        <v>20</v>
      </c>
      <c r="I20" s="25">
        <v>6000</v>
      </c>
      <c r="J20" s="25">
        <v>106</v>
      </c>
      <c r="K20" s="25">
        <v>6000</v>
      </c>
      <c r="L20" s="90">
        <f t="shared" si="1"/>
        <v>118</v>
      </c>
      <c r="M20" s="8">
        <v>0.52300000000000002</v>
      </c>
      <c r="N20" s="44">
        <v>112</v>
      </c>
      <c r="O20" s="85">
        <f>(1.166*2*72+1.166*4*(48+24+24))/6</f>
        <v>102.60799999999999</v>
      </c>
      <c r="P20" s="26">
        <f t="shared" si="2"/>
        <v>117.60000000000001</v>
      </c>
    </row>
    <row r="21" spans="1:16" s="26" customFormat="1" x14ac:dyDescent="0.25">
      <c r="A21" s="22" t="s">
        <v>17</v>
      </c>
      <c r="B21" s="22" t="s">
        <v>23</v>
      </c>
      <c r="C21" s="22" t="s">
        <v>24</v>
      </c>
      <c r="D21" s="22" t="s">
        <v>233</v>
      </c>
      <c r="E21" s="22" t="s">
        <v>268</v>
      </c>
      <c r="F21" s="22" t="s">
        <v>268</v>
      </c>
      <c r="G21" s="23">
        <f t="shared" si="0"/>
        <v>114</v>
      </c>
      <c r="H21" s="24" t="s">
        <v>20</v>
      </c>
      <c r="I21" s="25">
        <v>6000</v>
      </c>
      <c r="J21" s="25">
        <v>18</v>
      </c>
      <c r="K21" s="25">
        <v>6000</v>
      </c>
      <c r="L21" s="90">
        <f t="shared" si="1"/>
        <v>19</v>
      </c>
      <c r="M21" s="25">
        <v>0.73399999999999999</v>
      </c>
      <c r="N21" s="45">
        <v>18</v>
      </c>
      <c r="O21" s="86">
        <f>((0.977+1.184)*2*24)/6</f>
        <v>17.288</v>
      </c>
      <c r="P21" s="26">
        <f t="shared" si="2"/>
        <v>18.900000000000002</v>
      </c>
    </row>
    <row r="22" spans="1:16" s="26" customFormat="1" x14ac:dyDescent="0.25">
      <c r="A22" s="22" t="s">
        <v>176</v>
      </c>
      <c r="B22" s="22" t="s">
        <v>25</v>
      </c>
      <c r="C22" s="22" t="s">
        <v>26</v>
      </c>
      <c r="D22" s="22" t="s">
        <v>233</v>
      </c>
      <c r="E22" s="22" t="s">
        <v>268</v>
      </c>
      <c r="F22" s="22" t="s">
        <v>268</v>
      </c>
      <c r="G22" s="23">
        <f t="shared" si="0"/>
        <v>192</v>
      </c>
      <c r="H22" s="24" t="s">
        <v>20</v>
      </c>
      <c r="I22" s="25">
        <v>6000</v>
      </c>
      <c r="J22" s="25">
        <v>30</v>
      </c>
      <c r="K22" s="25">
        <v>6000</v>
      </c>
      <c r="L22" s="90">
        <f t="shared" si="1"/>
        <v>32</v>
      </c>
      <c r="M22" s="25">
        <v>0.224</v>
      </c>
      <c r="N22" s="45">
        <v>30</v>
      </c>
      <c r="O22" s="86">
        <f>(0.602+0.401+0.164)*2*72/6</f>
        <v>28.007999999999999</v>
      </c>
      <c r="P22" s="26">
        <f t="shared" si="2"/>
        <v>31.5</v>
      </c>
    </row>
    <row r="23" spans="1:16" s="26" customFormat="1" x14ac:dyDescent="0.25">
      <c r="A23" s="22" t="s">
        <v>17</v>
      </c>
      <c r="B23" s="22" t="s">
        <v>27</v>
      </c>
      <c r="C23" s="22" t="s">
        <v>28</v>
      </c>
      <c r="D23" s="22" t="s">
        <v>233</v>
      </c>
      <c r="E23" s="22" t="s">
        <v>268</v>
      </c>
      <c r="F23" s="22" t="s">
        <v>268</v>
      </c>
      <c r="G23" s="23">
        <f t="shared" si="0"/>
        <v>108</v>
      </c>
      <c r="H23" s="24" t="s">
        <v>20</v>
      </c>
      <c r="I23" s="25">
        <v>6000</v>
      </c>
      <c r="J23" s="25">
        <v>17</v>
      </c>
      <c r="K23" s="25">
        <v>6000</v>
      </c>
      <c r="L23" s="90">
        <f t="shared" si="1"/>
        <v>18</v>
      </c>
      <c r="M23" s="25">
        <v>0.18099999999999999</v>
      </c>
      <c r="N23" s="45">
        <v>17</v>
      </c>
      <c r="O23" s="86" t="s">
        <v>218</v>
      </c>
      <c r="P23" s="26">
        <f t="shared" si="2"/>
        <v>17.850000000000001</v>
      </c>
    </row>
    <row r="24" spans="1:16" s="26" customFormat="1" x14ac:dyDescent="0.25">
      <c r="A24" s="22" t="s">
        <v>17</v>
      </c>
      <c r="B24" s="22" t="s">
        <v>29</v>
      </c>
      <c r="C24" s="22" t="s">
        <v>28</v>
      </c>
      <c r="D24" s="22" t="s">
        <v>233</v>
      </c>
      <c r="E24" s="22" t="s">
        <v>268</v>
      </c>
      <c r="F24" s="22" t="s">
        <v>268</v>
      </c>
      <c r="G24" s="23">
        <f t="shared" si="0"/>
        <v>1218</v>
      </c>
      <c r="H24" s="24" t="s">
        <v>20</v>
      </c>
      <c r="I24" s="25">
        <v>6000</v>
      </c>
      <c r="J24" s="25">
        <v>193</v>
      </c>
      <c r="K24" s="25">
        <v>6000</v>
      </c>
      <c r="L24" s="90">
        <f t="shared" si="1"/>
        <v>203</v>
      </c>
      <c r="M24" s="25">
        <v>0.16200000000000001</v>
      </c>
      <c r="N24" s="45">
        <v>193</v>
      </c>
      <c r="O24" s="86" t="s">
        <v>219</v>
      </c>
      <c r="P24" s="26">
        <f t="shared" si="2"/>
        <v>202.65</v>
      </c>
    </row>
    <row r="25" spans="1:16" x14ac:dyDescent="0.25">
      <c r="A25" s="22" t="s">
        <v>17</v>
      </c>
      <c r="B25" s="22" t="s">
        <v>30</v>
      </c>
      <c r="C25" s="22" t="s">
        <v>31</v>
      </c>
      <c r="D25" s="22" t="s">
        <v>233</v>
      </c>
      <c r="E25" s="22" t="s">
        <v>268</v>
      </c>
      <c r="F25" s="22" t="s">
        <v>268</v>
      </c>
      <c r="G25" s="23">
        <f t="shared" si="0"/>
        <v>186</v>
      </c>
      <c r="H25" s="24" t="s">
        <v>20</v>
      </c>
      <c r="I25" s="25">
        <v>6000</v>
      </c>
      <c r="J25" s="25">
        <v>29</v>
      </c>
      <c r="K25" s="25">
        <v>6000</v>
      </c>
      <c r="L25" s="90">
        <f t="shared" si="1"/>
        <v>31</v>
      </c>
      <c r="M25" s="8">
        <v>0.2</v>
      </c>
      <c r="N25" s="44">
        <v>29</v>
      </c>
      <c r="O25" s="85">
        <f>(1.182*2*72)/6</f>
        <v>28.367999999999999</v>
      </c>
      <c r="P25" s="26">
        <f t="shared" si="2"/>
        <v>30.450000000000003</v>
      </c>
    </row>
    <row r="26" spans="1:16" s="26" customFormat="1" x14ac:dyDescent="0.25">
      <c r="A26" s="22" t="s">
        <v>17</v>
      </c>
      <c r="B26" s="22" t="s">
        <v>32</v>
      </c>
      <c r="C26" s="22" t="s">
        <v>33</v>
      </c>
      <c r="D26" s="22" t="s">
        <v>233</v>
      </c>
      <c r="E26" s="22" t="s">
        <v>268</v>
      </c>
      <c r="F26" s="22" t="s">
        <v>268</v>
      </c>
      <c r="G26" s="23">
        <f t="shared" si="0"/>
        <v>456</v>
      </c>
      <c r="H26" s="24" t="s">
        <v>20</v>
      </c>
      <c r="I26" s="25">
        <v>6000</v>
      </c>
      <c r="J26" s="25">
        <v>72</v>
      </c>
      <c r="K26" s="25">
        <v>6000</v>
      </c>
      <c r="L26" s="90">
        <f t="shared" si="1"/>
        <v>76</v>
      </c>
      <c r="M26" s="25">
        <v>1.1299999999999999</v>
      </c>
      <c r="N26" s="45">
        <v>72</v>
      </c>
      <c r="O26" s="86">
        <f>(0.916*6*72)/6</f>
        <v>65.952000000000012</v>
      </c>
      <c r="P26" s="26">
        <f t="shared" si="2"/>
        <v>75.600000000000009</v>
      </c>
    </row>
    <row r="27" spans="1:16" s="26" customFormat="1" x14ac:dyDescent="0.25">
      <c r="A27" s="22" t="s">
        <v>17</v>
      </c>
      <c r="B27" s="22" t="s">
        <v>34</v>
      </c>
      <c r="C27" s="22" t="s">
        <v>35</v>
      </c>
      <c r="D27" s="22" t="s">
        <v>233</v>
      </c>
      <c r="E27" s="22" t="s">
        <v>268</v>
      </c>
      <c r="F27" s="22" t="s">
        <v>268</v>
      </c>
      <c r="G27" s="23">
        <f t="shared" si="0"/>
        <v>1086</v>
      </c>
      <c r="H27" s="24" t="s">
        <v>20</v>
      </c>
      <c r="I27" s="25">
        <v>6000</v>
      </c>
      <c r="J27" s="25">
        <v>200</v>
      </c>
      <c r="K27" s="25">
        <v>6000</v>
      </c>
      <c r="L27" s="90">
        <f t="shared" si="1"/>
        <v>181</v>
      </c>
      <c r="M27" s="25">
        <v>0.28000000000000003</v>
      </c>
      <c r="N27" s="45">
        <v>172</v>
      </c>
      <c r="O27" s="86" t="s">
        <v>220</v>
      </c>
      <c r="P27" s="26">
        <f t="shared" si="2"/>
        <v>180.6</v>
      </c>
    </row>
    <row r="28" spans="1:16" s="26" customFormat="1" x14ac:dyDescent="0.25">
      <c r="A28" s="22" t="s">
        <v>17</v>
      </c>
      <c r="B28" s="22" t="s">
        <v>36</v>
      </c>
      <c r="C28" s="22" t="s">
        <v>33</v>
      </c>
      <c r="D28" s="22" t="s">
        <v>233</v>
      </c>
      <c r="E28" s="22" t="s">
        <v>268</v>
      </c>
      <c r="F28" s="22" t="s">
        <v>268</v>
      </c>
      <c r="G28" s="23">
        <f t="shared" si="0"/>
        <v>498</v>
      </c>
      <c r="H28" s="24" t="s">
        <v>20</v>
      </c>
      <c r="I28" s="25">
        <v>6000</v>
      </c>
      <c r="J28" s="25">
        <v>79</v>
      </c>
      <c r="K28" s="25">
        <v>6000</v>
      </c>
      <c r="L28" s="90">
        <f t="shared" si="1"/>
        <v>83</v>
      </c>
      <c r="M28" s="25">
        <v>1.26</v>
      </c>
      <c r="N28" s="45">
        <v>79</v>
      </c>
      <c r="O28" s="86">
        <f>(0.916*3*72+1.234*2*72+0.23*2*72)/6</f>
        <v>68.112000000000009</v>
      </c>
      <c r="P28" s="26">
        <f t="shared" si="2"/>
        <v>82.95</v>
      </c>
    </row>
    <row r="29" spans="1:16" s="26" customFormat="1" x14ac:dyDescent="0.25">
      <c r="A29" s="22" t="s">
        <v>17</v>
      </c>
      <c r="B29" s="22" t="s">
        <v>37</v>
      </c>
      <c r="C29" s="22" t="s">
        <v>38</v>
      </c>
      <c r="D29" s="22" t="s">
        <v>233</v>
      </c>
      <c r="E29" s="22" t="s">
        <v>268</v>
      </c>
      <c r="F29" s="22" t="s">
        <v>268</v>
      </c>
      <c r="G29" s="23">
        <f t="shared" si="0"/>
        <v>648</v>
      </c>
      <c r="H29" s="24" t="s">
        <v>20</v>
      </c>
      <c r="I29" s="25">
        <v>6000</v>
      </c>
      <c r="J29" s="25">
        <v>102</v>
      </c>
      <c r="K29" s="25">
        <v>6000</v>
      </c>
      <c r="L29" s="90">
        <f t="shared" si="1"/>
        <v>108</v>
      </c>
      <c r="M29" s="25">
        <v>0.27700000000000002</v>
      </c>
      <c r="N29" s="45">
        <v>102</v>
      </c>
      <c r="O29" s="86" t="s">
        <v>221</v>
      </c>
      <c r="P29" s="26">
        <f t="shared" si="2"/>
        <v>107.10000000000001</v>
      </c>
    </row>
    <row r="30" spans="1:16" s="26" customFormat="1" x14ac:dyDescent="0.25">
      <c r="A30" s="22" t="s">
        <v>17</v>
      </c>
      <c r="B30" s="22" t="s">
        <v>39</v>
      </c>
      <c r="C30" s="22" t="s">
        <v>40</v>
      </c>
      <c r="D30" s="22" t="s">
        <v>233</v>
      </c>
      <c r="E30" s="22" t="s">
        <v>268</v>
      </c>
      <c r="F30" s="22" t="s">
        <v>268</v>
      </c>
      <c r="G30" s="23">
        <f t="shared" si="0"/>
        <v>36</v>
      </c>
      <c r="H30" s="24" t="s">
        <v>20</v>
      </c>
      <c r="I30" s="25">
        <v>6000</v>
      </c>
      <c r="J30" s="25">
        <v>5</v>
      </c>
      <c r="K30" s="25">
        <v>6000</v>
      </c>
      <c r="L30" s="90">
        <f t="shared" si="1"/>
        <v>6</v>
      </c>
      <c r="M30" s="25">
        <v>0.59599999999999997</v>
      </c>
      <c r="N30" s="45">
        <v>5</v>
      </c>
      <c r="O30" s="86">
        <f>1.145*24/6</f>
        <v>4.58</v>
      </c>
      <c r="P30" s="26">
        <f t="shared" si="2"/>
        <v>5.25</v>
      </c>
    </row>
    <row r="31" spans="1:16" s="26" customFormat="1" x14ac:dyDescent="0.25">
      <c r="A31" s="22" t="s">
        <v>17</v>
      </c>
      <c r="B31" s="22" t="s">
        <v>41</v>
      </c>
      <c r="C31" s="22" t="s">
        <v>28</v>
      </c>
      <c r="D31" s="22" t="s">
        <v>233</v>
      </c>
      <c r="E31" s="22" t="s">
        <v>268</v>
      </c>
      <c r="F31" s="22" t="s">
        <v>268</v>
      </c>
      <c r="G31" s="23">
        <f t="shared" si="0"/>
        <v>2160</v>
      </c>
      <c r="H31" s="24" t="s">
        <v>20</v>
      </c>
      <c r="I31" s="25">
        <v>6000</v>
      </c>
      <c r="J31" s="25">
        <v>380</v>
      </c>
      <c r="K31" s="25">
        <v>6000</v>
      </c>
      <c r="L31" s="90">
        <f t="shared" si="1"/>
        <v>360</v>
      </c>
      <c r="M31" s="25">
        <v>0.17100000000000001</v>
      </c>
      <c r="N31" s="45">
        <v>342</v>
      </c>
      <c r="O31" s="86" t="s">
        <v>222</v>
      </c>
      <c r="P31" s="26">
        <f t="shared" si="2"/>
        <v>359.1</v>
      </c>
    </row>
    <row r="32" spans="1:16" s="26" customFormat="1" x14ac:dyDescent="0.25">
      <c r="A32" s="22" t="s">
        <v>17</v>
      </c>
      <c r="B32" s="22" t="s">
        <v>42</v>
      </c>
      <c r="C32" s="22" t="s">
        <v>43</v>
      </c>
      <c r="D32" s="22" t="s">
        <v>233</v>
      </c>
      <c r="E32" s="22" t="s">
        <v>268</v>
      </c>
      <c r="F32" s="22" t="s">
        <v>268</v>
      </c>
      <c r="G32" s="23">
        <f t="shared" si="0"/>
        <v>810</v>
      </c>
      <c r="H32" s="24" t="s">
        <v>20</v>
      </c>
      <c r="I32" s="25">
        <v>6000</v>
      </c>
      <c r="J32" s="25">
        <v>128</v>
      </c>
      <c r="K32" s="25">
        <v>6000</v>
      </c>
      <c r="L32" s="90">
        <f t="shared" si="1"/>
        <v>135</v>
      </c>
      <c r="M32" s="25">
        <v>1.2509999999999999</v>
      </c>
      <c r="N32" s="44">
        <v>128</v>
      </c>
      <c r="O32" s="85">
        <f>(2.086*4*48+1.796*4*24+1.986*4*24)/6</f>
        <v>127.26399999999997</v>
      </c>
      <c r="P32" s="26">
        <f t="shared" si="2"/>
        <v>134.4</v>
      </c>
    </row>
    <row r="33" spans="1:16" s="26" customFormat="1" x14ac:dyDescent="0.25">
      <c r="A33" s="22" t="s">
        <v>17</v>
      </c>
      <c r="B33" s="22" t="s">
        <v>44</v>
      </c>
      <c r="C33" s="22" t="s">
        <v>31</v>
      </c>
      <c r="D33" s="22" t="s">
        <v>233</v>
      </c>
      <c r="E33" s="22" t="s">
        <v>268</v>
      </c>
      <c r="F33" s="22" t="s">
        <v>268</v>
      </c>
      <c r="G33" s="23">
        <f t="shared" si="0"/>
        <v>36</v>
      </c>
      <c r="H33" s="24" t="s">
        <v>20</v>
      </c>
      <c r="I33" s="25">
        <v>6000</v>
      </c>
      <c r="J33" s="25">
        <v>5</v>
      </c>
      <c r="K33" s="25">
        <v>6000</v>
      </c>
      <c r="L33" s="90">
        <f t="shared" si="1"/>
        <v>6</v>
      </c>
      <c r="M33" s="25">
        <v>0.433</v>
      </c>
      <c r="N33" s="45">
        <v>5</v>
      </c>
      <c r="O33" s="86">
        <f>1.145*24/6</f>
        <v>4.58</v>
      </c>
      <c r="P33" s="26">
        <f t="shared" si="2"/>
        <v>5.25</v>
      </c>
    </row>
    <row r="34" spans="1:16" s="26" customFormat="1" x14ac:dyDescent="0.25">
      <c r="A34" s="22" t="s">
        <v>17</v>
      </c>
      <c r="B34" s="22" t="s">
        <v>45</v>
      </c>
      <c r="C34" s="22" t="s">
        <v>46</v>
      </c>
      <c r="D34" s="22" t="s">
        <v>47</v>
      </c>
      <c r="E34" s="22" t="s">
        <v>47</v>
      </c>
      <c r="F34" s="22" t="s">
        <v>47</v>
      </c>
      <c r="G34" s="23">
        <f t="shared" si="0"/>
        <v>30</v>
      </c>
      <c r="H34" s="24" t="s">
        <v>20</v>
      </c>
      <c r="I34" s="25">
        <v>6000</v>
      </c>
      <c r="J34" s="25">
        <v>4</v>
      </c>
      <c r="K34" s="25">
        <v>6000</v>
      </c>
      <c r="L34" s="90">
        <f t="shared" si="1"/>
        <v>5</v>
      </c>
      <c r="M34" s="25">
        <v>0.16700000000000001</v>
      </c>
      <c r="N34" s="45">
        <v>4</v>
      </c>
      <c r="O34" s="86" t="s">
        <v>223</v>
      </c>
      <c r="P34" s="26">
        <f t="shared" si="2"/>
        <v>4.2</v>
      </c>
    </row>
    <row r="35" spans="1:16" s="26" customFormat="1" x14ac:dyDescent="0.25">
      <c r="A35" s="22" t="s">
        <v>17</v>
      </c>
      <c r="B35" s="22" t="s">
        <v>48</v>
      </c>
      <c r="C35" s="22" t="s">
        <v>49</v>
      </c>
      <c r="D35" s="22" t="s">
        <v>233</v>
      </c>
      <c r="E35" s="22" t="s">
        <v>268</v>
      </c>
      <c r="F35" s="22" t="s">
        <v>268</v>
      </c>
      <c r="G35" s="23">
        <f t="shared" si="0"/>
        <v>852</v>
      </c>
      <c r="H35" s="24" t="s">
        <v>20</v>
      </c>
      <c r="I35" s="25">
        <v>6000</v>
      </c>
      <c r="J35" s="25">
        <v>135</v>
      </c>
      <c r="K35" s="25">
        <v>6000</v>
      </c>
      <c r="L35" s="90">
        <f t="shared" si="1"/>
        <v>142</v>
      </c>
      <c r="M35" s="25">
        <v>0.625</v>
      </c>
      <c r="N35" s="45">
        <v>135</v>
      </c>
      <c r="O35" s="86">
        <f>(1.008*8*48+0.863*10*24+0.958*8*24)/6</f>
        <v>129.68799999999999</v>
      </c>
      <c r="P35" s="26">
        <f t="shared" si="2"/>
        <v>141.75</v>
      </c>
    </row>
    <row r="36" spans="1:16" x14ac:dyDescent="0.25">
      <c r="A36" s="22" t="s">
        <v>17</v>
      </c>
      <c r="B36" s="22" t="s">
        <v>50</v>
      </c>
      <c r="C36" s="22" t="s">
        <v>49</v>
      </c>
      <c r="D36" s="22" t="s">
        <v>233</v>
      </c>
      <c r="E36" s="22" t="s">
        <v>268</v>
      </c>
      <c r="F36" s="22" t="s">
        <v>268</v>
      </c>
      <c r="G36" s="23">
        <f t="shared" si="0"/>
        <v>810</v>
      </c>
      <c r="H36" s="24" t="s">
        <v>20</v>
      </c>
      <c r="I36" s="25">
        <v>6000</v>
      </c>
      <c r="J36" s="25">
        <v>128</v>
      </c>
      <c r="K36" s="25">
        <v>6000</v>
      </c>
      <c r="L36" s="90">
        <f t="shared" si="1"/>
        <v>135</v>
      </c>
      <c r="M36" s="8">
        <v>0.67700000000000005</v>
      </c>
      <c r="N36" s="44">
        <v>128</v>
      </c>
      <c r="O36" s="85">
        <f>((1.008*4+1.243*2+0.248*2)*48+(0.863*4+1.05*3+1.243*2+0.248*2)*24+(0.945*4+1.243*2+0.248*2)*24)/6</f>
        <v>121.49600000000002</v>
      </c>
      <c r="P36" s="26">
        <f t="shared" si="2"/>
        <v>134.4</v>
      </c>
    </row>
    <row r="37" spans="1:16" s="26" customFormat="1" x14ac:dyDescent="0.25">
      <c r="A37" s="22" t="s">
        <v>17</v>
      </c>
      <c r="B37" s="22" t="s">
        <v>51</v>
      </c>
      <c r="C37" s="22" t="s">
        <v>52</v>
      </c>
      <c r="D37" s="22" t="s">
        <v>233</v>
      </c>
      <c r="E37" s="22" t="s">
        <v>268</v>
      </c>
      <c r="F37" s="22" t="s">
        <v>268</v>
      </c>
      <c r="G37" s="23">
        <f t="shared" si="0"/>
        <v>504</v>
      </c>
      <c r="H37" s="24" t="s">
        <v>20</v>
      </c>
      <c r="I37" s="25">
        <v>6000</v>
      </c>
      <c r="J37" s="25">
        <v>83</v>
      </c>
      <c r="K37" s="25">
        <v>6000</v>
      </c>
      <c r="L37" s="90">
        <f t="shared" si="1"/>
        <v>84</v>
      </c>
      <c r="M37" s="25">
        <v>0.3</v>
      </c>
      <c r="N37" s="45">
        <v>80</v>
      </c>
      <c r="O37" s="86">
        <f>((0.619+0.418+0.182)*4*(48+24+24))/6</f>
        <v>78.015999999999991</v>
      </c>
      <c r="P37" s="26">
        <f t="shared" si="2"/>
        <v>84</v>
      </c>
    </row>
    <row r="38" spans="1:16" x14ac:dyDescent="0.25">
      <c r="A38" s="22" t="s">
        <v>17</v>
      </c>
      <c r="B38" s="22" t="s">
        <v>53</v>
      </c>
      <c r="C38" s="22" t="s">
        <v>54</v>
      </c>
      <c r="D38" s="22" t="s">
        <v>233</v>
      </c>
      <c r="E38" s="22" t="s">
        <v>268</v>
      </c>
      <c r="F38" s="22" t="s">
        <v>268</v>
      </c>
      <c r="G38" s="23">
        <f t="shared" si="0"/>
        <v>456</v>
      </c>
      <c r="H38" s="24" t="s">
        <v>20</v>
      </c>
      <c r="I38" s="25">
        <v>6000</v>
      </c>
      <c r="J38" s="25">
        <v>72</v>
      </c>
      <c r="K38" s="25">
        <v>6000</v>
      </c>
      <c r="L38" s="90">
        <f t="shared" si="1"/>
        <v>76</v>
      </c>
      <c r="M38" s="8">
        <v>1.7749999999999999</v>
      </c>
      <c r="N38" s="44">
        <v>72</v>
      </c>
      <c r="O38" s="85">
        <v>72</v>
      </c>
      <c r="P38" s="26">
        <f t="shared" si="2"/>
        <v>75.600000000000009</v>
      </c>
    </row>
    <row r="39" spans="1:16" x14ac:dyDescent="0.25">
      <c r="A39" s="22" t="s">
        <v>17</v>
      </c>
      <c r="B39" s="22" t="s">
        <v>55</v>
      </c>
      <c r="C39" s="22" t="s">
        <v>56</v>
      </c>
      <c r="D39" s="22" t="s">
        <v>233</v>
      </c>
      <c r="E39" s="22" t="s">
        <v>268</v>
      </c>
      <c r="F39" s="22" t="s">
        <v>268</v>
      </c>
      <c r="G39" s="23">
        <f t="shared" si="0"/>
        <v>456</v>
      </c>
      <c r="H39" s="24" t="s">
        <v>20</v>
      </c>
      <c r="I39" s="25">
        <v>6000</v>
      </c>
      <c r="J39" s="25">
        <v>72</v>
      </c>
      <c r="K39" s="25">
        <v>6000</v>
      </c>
      <c r="L39" s="90">
        <f t="shared" si="1"/>
        <v>76</v>
      </c>
      <c r="M39" s="8">
        <v>1.7050000000000001</v>
      </c>
      <c r="N39" s="44">
        <v>72</v>
      </c>
      <c r="O39" s="85">
        <v>72</v>
      </c>
      <c r="P39" s="26">
        <f t="shared" si="2"/>
        <v>75.600000000000009</v>
      </c>
    </row>
    <row r="40" spans="1:16" s="26" customFormat="1" x14ac:dyDescent="0.25">
      <c r="A40" s="22" t="s">
        <v>17</v>
      </c>
      <c r="B40" s="22" t="s">
        <v>57</v>
      </c>
      <c r="C40" s="22" t="s">
        <v>58</v>
      </c>
      <c r="D40" s="22" t="s">
        <v>233</v>
      </c>
      <c r="E40" s="22" t="s">
        <v>268</v>
      </c>
      <c r="F40" s="22" t="s">
        <v>268</v>
      </c>
      <c r="G40" s="23">
        <f t="shared" si="0"/>
        <v>912</v>
      </c>
      <c r="H40" s="24" t="s">
        <v>20</v>
      </c>
      <c r="I40" s="25">
        <v>6000</v>
      </c>
      <c r="J40" s="25">
        <v>144</v>
      </c>
      <c r="K40" s="25">
        <v>6000</v>
      </c>
      <c r="L40" s="90">
        <f t="shared" si="1"/>
        <v>152</v>
      </c>
      <c r="M40" s="25">
        <v>1.343</v>
      </c>
      <c r="N40" s="44">
        <v>144</v>
      </c>
      <c r="O40" s="85">
        <f>3*3*(48+24+24)/6</f>
        <v>144</v>
      </c>
      <c r="P40" s="26">
        <f t="shared" si="2"/>
        <v>151.20000000000002</v>
      </c>
    </row>
    <row r="41" spans="1:16" s="26" customFormat="1" x14ac:dyDescent="0.25">
      <c r="A41" s="22" t="s">
        <v>17</v>
      </c>
      <c r="B41" s="22" t="s">
        <v>202</v>
      </c>
      <c r="C41" s="22" t="s">
        <v>59</v>
      </c>
      <c r="D41" s="22" t="s">
        <v>233</v>
      </c>
      <c r="E41" s="22" t="s">
        <v>268</v>
      </c>
      <c r="F41" s="22" t="s">
        <v>268</v>
      </c>
      <c r="G41" s="23">
        <f t="shared" si="0"/>
        <v>246</v>
      </c>
      <c r="H41" s="24" t="s">
        <v>20</v>
      </c>
      <c r="I41" s="25">
        <v>6000</v>
      </c>
      <c r="J41" s="25">
        <v>39</v>
      </c>
      <c r="K41" s="25">
        <v>6000</v>
      </c>
      <c r="L41" s="90">
        <f t="shared" si="1"/>
        <v>41</v>
      </c>
      <c r="M41" s="25"/>
      <c r="N41" s="44">
        <v>39</v>
      </c>
      <c r="O41" s="85">
        <f>2*1.189*(48+24+24)/6</f>
        <v>38.048000000000002</v>
      </c>
      <c r="P41" s="26">
        <f t="shared" si="2"/>
        <v>40.950000000000003</v>
      </c>
    </row>
    <row r="42" spans="1:16" s="26" customFormat="1" x14ac:dyDescent="0.25">
      <c r="A42" s="22" t="s">
        <v>17</v>
      </c>
      <c r="B42" s="22" t="s">
        <v>201</v>
      </c>
      <c r="C42" s="22" t="s">
        <v>59</v>
      </c>
      <c r="D42" s="22" t="s">
        <v>233</v>
      </c>
      <c r="E42" s="22" t="s">
        <v>268</v>
      </c>
      <c r="F42" s="22" t="s">
        <v>268</v>
      </c>
      <c r="G42" s="23">
        <f t="shared" si="0"/>
        <v>246</v>
      </c>
      <c r="H42" s="24" t="s">
        <v>20</v>
      </c>
      <c r="I42" s="25">
        <v>6000</v>
      </c>
      <c r="J42" s="25">
        <v>39</v>
      </c>
      <c r="K42" s="25">
        <v>6000</v>
      </c>
      <c r="L42" s="90">
        <f t="shared" si="1"/>
        <v>41</v>
      </c>
      <c r="M42" s="25"/>
      <c r="N42" s="45">
        <v>39</v>
      </c>
      <c r="O42" s="86">
        <f>O41</f>
        <v>38.048000000000002</v>
      </c>
      <c r="P42" s="26">
        <f t="shared" si="2"/>
        <v>40.950000000000003</v>
      </c>
    </row>
    <row r="43" spans="1:16" x14ac:dyDescent="0.25">
      <c r="A43" s="22" t="s">
        <v>17</v>
      </c>
      <c r="B43" s="22" t="s">
        <v>60</v>
      </c>
      <c r="C43" s="22" t="s">
        <v>61</v>
      </c>
      <c r="D43" s="22" t="s">
        <v>233</v>
      </c>
      <c r="E43" s="22" t="s">
        <v>268</v>
      </c>
      <c r="F43" s="22" t="s">
        <v>268</v>
      </c>
      <c r="G43" s="23">
        <f t="shared" si="0"/>
        <v>36</v>
      </c>
      <c r="H43" s="24" t="s">
        <v>20</v>
      </c>
      <c r="I43" s="25">
        <v>6000</v>
      </c>
      <c r="J43" s="25">
        <v>5</v>
      </c>
      <c r="K43" s="25">
        <v>6000</v>
      </c>
      <c r="L43" s="90">
        <f t="shared" si="1"/>
        <v>6</v>
      </c>
      <c r="M43" s="8">
        <v>0.628</v>
      </c>
      <c r="N43" s="44">
        <v>5</v>
      </c>
      <c r="O43" s="85">
        <f>1.145*24/6</f>
        <v>4.58</v>
      </c>
      <c r="P43" s="26">
        <f t="shared" si="2"/>
        <v>5.25</v>
      </c>
    </row>
    <row r="44" spans="1:16" x14ac:dyDescent="0.25">
      <c r="A44" s="22" t="s">
        <v>17</v>
      </c>
      <c r="B44" s="22" t="s">
        <v>62</v>
      </c>
      <c r="C44" s="22" t="s">
        <v>63</v>
      </c>
      <c r="D44" s="22" t="s">
        <v>233</v>
      </c>
      <c r="E44" s="22" t="s">
        <v>268</v>
      </c>
      <c r="F44" s="22" t="s">
        <v>268</v>
      </c>
      <c r="G44" s="23">
        <f t="shared" si="0"/>
        <v>78</v>
      </c>
      <c r="H44" s="24" t="s">
        <v>20</v>
      </c>
      <c r="I44" s="25">
        <v>6000</v>
      </c>
      <c r="J44" s="25">
        <v>12</v>
      </c>
      <c r="K44" s="25">
        <v>6000</v>
      </c>
      <c r="L44" s="90">
        <f t="shared" si="1"/>
        <v>13</v>
      </c>
      <c r="M44" s="39">
        <v>2.0659999999999998</v>
      </c>
      <c r="N44" s="44">
        <v>12</v>
      </c>
      <c r="O44" s="85">
        <v>12</v>
      </c>
      <c r="P44" s="26">
        <f t="shared" si="2"/>
        <v>12.600000000000001</v>
      </c>
    </row>
    <row r="45" spans="1:16" s="46" customFormat="1" x14ac:dyDescent="0.25">
      <c r="A45" s="22" t="s">
        <v>17</v>
      </c>
      <c r="B45" s="22" t="s">
        <v>190</v>
      </c>
      <c r="C45" s="22" t="s">
        <v>203</v>
      </c>
      <c r="D45" s="22" t="s">
        <v>47</v>
      </c>
      <c r="E45" s="22" t="s">
        <v>47</v>
      </c>
      <c r="F45" s="22" t="s">
        <v>47</v>
      </c>
      <c r="G45" s="23">
        <f t="shared" si="0"/>
        <v>372</v>
      </c>
      <c r="H45" s="96" t="s">
        <v>20</v>
      </c>
      <c r="I45" s="117">
        <v>6000</v>
      </c>
      <c r="J45" s="138">
        <v>72</v>
      </c>
      <c r="K45" s="117">
        <v>6000</v>
      </c>
      <c r="L45" s="90">
        <f t="shared" si="1"/>
        <v>62</v>
      </c>
      <c r="M45" s="58"/>
      <c r="N45" s="44">
        <v>72</v>
      </c>
      <c r="O45" s="86">
        <f>(0.11*10*96+2.55*96)/6</f>
        <v>58.4</v>
      </c>
      <c r="P45" s="26">
        <f>O45*1.05</f>
        <v>61.32</v>
      </c>
    </row>
    <row r="46" spans="1:16" x14ac:dyDescent="0.25">
      <c r="A46" s="22" t="s">
        <v>17</v>
      </c>
      <c r="B46" s="22" t="s">
        <v>204</v>
      </c>
      <c r="C46" s="22" t="s">
        <v>203</v>
      </c>
      <c r="D46" s="22" t="s">
        <v>47</v>
      </c>
      <c r="E46" s="22" t="s">
        <v>47</v>
      </c>
      <c r="F46" s="22" t="s">
        <v>47</v>
      </c>
      <c r="G46" s="23">
        <f t="shared" si="0"/>
        <v>6</v>
      </c>
      <c r="H46" s="96" t="s">
        <v>20</v>
      </c>
      <c r="I46" s="99">
        <v>6000</v>
      </c>
      <c r="J46" s="99">
        <v>2</v>
      </c>
      <c r="K46" s="99">
        <v>6000</v>
      </c>
      <c r="L46" s="90">
        <f t="shared" si="1"/>
        <v>1</v>
      </c>
      <c r="M46" s="58"/>
      <c r="N46" s="44">
        <v>2</v>
      </c>
      <c r="O46" s="86">
        <f>0.11*2*24/6</f>
        <v>0.88</v>
      </c>
      <c r="P46" s="26">
        <f t="shared" ref="P46:P47" si="3">O46*1.05</f>
        <v>0.92400000000000004</v>
      </c>
    </row>
    <row r="47" spans="1:16" x14ac:dyDescent="0.25">
      <c r="A47" s="22" t="s">
        <v>17</v>
      </c>
      <c r="B47" s="22" t="s">
        <v>205</v>
      </c>
      <c r="C47" s="22" t="s">
        <v>203</v>
      </c>
      <c r="D47" s="22" t="s">
        <v>47</v>
      </c>
      <c r="E47" s="22" t="s">
        <v>47</v>
      </c>
      <c r="F47" s="22" t="s">
        <v>47</v>
      </c>
      <c r="G47" s="23">
        <f t="shared" si="0"/>
        <v>72</v>
      </c>
      <c r="H47" s="96" t="s">
        <v>20</v>
      </c>
      <c r="I47" s="99">
        <v>6000</v>
      </c>
      <c r="J47" s="99">
        <v>30</v>
      </c>
      <c r="K47" s="99">
        <v>6000</v>
      </c>
      <c r="L47" s="90">
        <f t="shared" si="1"/>
        <v>12</v>
      </c>
      <c r="M47" s="58"/>
      <c r="N47" s="44">
        <v>30</v>
      </c>
      <c r="O47" s="86">
        <f>0.11*8*72/6</f>
        <v>10.56</v>
      </c>
      <c r="P47" s="26">
        <f t="shared" si="3"/>
        <v>11.088000000000001</v>
      </c>
    </row>
    <row r="48" spans="1:16" s="19" customFormat="1" x14ac:dyDescent="0.25">
      <c r="A48" s="169" t="s">
        <v>177</v>
      </c>
      <c r="B48" s="170"/>
      <c r="C48" s="112"/>
      <c r="D48" s="112"/>
      <c r="E48" s="112"/>
      <c r="F48" s="112"/>
      <c r="G48" s="115"/>
      <c r="H48" s="116"/>
      <c r="I48" s="117"/>
      <c r="J48" s="117"/>
      <c r="K48" s="117"/>
      <c r="L48" s="90"/>
      <c r="M48" s="35"/>
      <c r="N48" s="44"/>
      <c r="O48" s="85"/>
      <c r="P48" s="26"/>
    </row>
    <row r="49" spans="1:16" s="19" customFormat="1" x14ac:dyDescent="0.25">
      <c r="A49" s="22" t="s">
        <v>17</v>
      </c>
      <c r="B49" s="112" t="s">
        <v>178</v>
      </c>
      <c r="C49" s="112" t="s">
        <v>179</v>
      </c>
      <c r="D49" s="22" t="s">
        <v>233</v>
      </c>
      <c r="E49" s="22" t="s">
        <v>268</v>
      </c>
      <c r="F49" s="22" t="s">
        <v>268</v>
      </c>
      <c r="G49" s="115">
        <f>L49*6</f>
        <v>564</v>
      </c>
      <c r="H49" s="24" t="s">
        <v>20</v>
      </c>
      <c r="I49" s="25">
        <v>6000</v>
      </c>
      <c r="J49" s="117"/>
      <c r="K49" s="117">
        <v>6000</v>
      </c>
      <c r="L49" s="90">
        <f t="shared" si="1"/>
        <v>94</v>
      </c>
      <c r="M49" s="35"/>
      <c r="N49" s="44">
        <v>89</v>
      </c>
      <c r="O49" s="85">
        <f>(3*(0.938*72+0.974*48+0.829*24+0.924*24))/6</f>
        <v>78.180000000000007</v>
      </c>
      <c r="P49" s="26">
        <f>N49*1.05</f>
        <v>93.45</v>
      </c>
    </row>
    <row r="50" spans="1:16" s="19" customFormat="1" x14ac:dyDescent="0.25">
      <c r="A50" s="22" t="s">
        <v>17</v>
      </c>
      <c r="B50" s="112" t="s">
        <v>180</v>
      </c>
      <c r="C50" s="112" t="s">
        <v>181</v>
      </c>
      <c r="D50" s="22" t="s">
        <v>233</v>
      </c>
      <c r="E50" s="22" t="s">
        <v>268</v>
      </c>
      <c r="F50" s="22" t="s">
        <v>268</v>
      </c>
      <c r="G50" s="115">
        <f t="shared" ref="G50:G53" si="4">L50*6</f>
        <v>462</v>
      </c>
      <c r="H50" s="24" t="s">
        <v>20</v>
      </c>
      <c r="I50" s="25">
        <v>6000</v>
      </c>
      <c r="J50" s="117"/>
      <c r="K50" s="117">
        <v>6000</v>
      </c>
      <c r="L50" s="90">
        <f t="shared" si="1"/>
        <v>77</v>
      </c>
      <c r="M50" s="35"/>
      <c r="N50" s="44">
        <v>73</v>
      </c>
      <c r="O50" s="85">
        <f>(2*(0.938*72+0.974*48+0.829*24+0.924*24)+2*0.222*168)/6</f>
        <v>64.552000000000007</v>
      </c>
      <c r="P50" s="26">
        <f t="shared" ref="P50:P66" si="5">N50*1.05</f>
        <v>76.650000000000006</v>
      </c>
    </row>
    <row r="51" spans="1:16" s="19" customFormat="1" x14ac:dyDescent="0.25">
      <c r="A51" s="22" t="s">
        <v>17</v>
      </c>
      <c r="B51" s="112" t="s">
        <v>183</v>
      </c>
      <c r="C51" s="112" t="s">
        <v>182</v>
      </c>
      <c r="D51" s="22" t="s">
        <v>233</v>
      </c>
      <c r="E51" s="22" t="s">
        <v>268</v>
      </c>
      <c r="F51" s="22" t="s">
        <v>268</v>
      </c>
      <c r="G51" s="115">
        <f t="shared" si="4"/>
        <v>114</v>
      </c>
      <c r="H51" s="24" t="s">
        <v>20</v>
      </c>
      <c r="I51" s="25">
        <v>6000</v>
      </c>
      <c r="J51" s="117"/>
      <c r="K51" s="117">
        <v>6000</v>
      </c>
      <c r="L51" s="90">
        <f t="shared" si="1"/>
        <v>19</v>
      </c>
      <c r="M51" s="35"/>
      <c r="N51" s="44">
        <v>18</v>
      </c>
      <c r="O51" s="85">
        <f>(0.974*48+0.829*24+0.924*24)/6</f>
        <v>14.804</v>
      </c>
      <c r="P51" s="26">
        <f t="shared" si="5"/>
        <v>18.900000000000002</v>
      </c>
    </row>
    <row r="52" spans="1:16" s="19" customFormat="1" x14ac:dyDescent="0.25">
      <c r="A52" s="111" t="s">
        <v>17</v>
      </c>
      <c r="B52" s="113" t="s">
        <v>44</v>
      </c>
      <c r="C52" s="113" t="s">
        <v>182</v>
      </c>
      <c r="D52" s="111" t="s">
        <v>233</v>
      </c>
      <c r="E52" s="22" t="s">
        <v>268</v>
      </c>
      <c r="F52" s="22" t="s">
        <v>268</v>
      </c>
      <c r="G52" s="115">
        <f t="shared" si="4"/>
        <v>30</v>
      </c>
      <c r="H52" s="118" t="s">
        <v>20</v>
      </c>
      <c r="I52" s="123">
        <v>6000</v>
      </c>
      <c r="J52" s="128"/>
      <c r="K52" s="117">
        <v>6000</v>
      </c>
      <c r="L52" s="90">
        <f t="shared" si="1"/>
        <v>5</v>
      </c>
      <c r="M52" s="40"/>
      <c r="N52" s="44">
        <v>4</v>
      </c>
      <c r="O52" s="85">
        <f>0.182*96/6</f>
        <v>2.9120000000000004</v>
      </c>
      <c r="P52" s="26">
        <f t="shared" si="5"/>
        <v>4.2</v>
      </c>
    </row>
    <row r="53" spans="1:16" s="19" customFormat="1" x14ac:dyDescent="0.25">
      <c r="A53" s="112" t="s">
        <v>17</v>
      </c>
      <c r="B53" s="112" t="s">
        <v>184</v>
      </c>
      <c r="C53" s="112" t="s">
        <v>31</v>
      </c>
      <c r="D53" s="112" t="s">
        <v>233</v>
      </c>
      <c r="E53" s="22" t="s">
        <v>268</v>
      </c>
      <c r="F53" s="22" t="s">
        <v>268</v>
      </c>
      <c r="G53" s="115">
        <f t="shared" si="4"/>
        <v>78</v>
      </c>
      <c r="H53" s="116" t="s">
        <v>20</v>
      </c>
      <c r="I53" s="117">
        <v>6000</v>
      </c>
      <c r="J53" s="117"/>
      <c r="K53" s="117">
        <v>6000</v>
      </c>
      <c r="L53" s="90">
        <f t="shared" si="1"/>
        <v>13</v>
      </c>
      <c r="M53" s="35"/>
      <c r="N53" s="44">
        <v>12</v>
      </c>
      <c r="O53" s="85">
        <f>0.938*72/6</f>
        <v>11.256</v>
      </c>
      <c r="P53" s="26">
        <f t="shared" si="5"/>
        <v>12.600000000000001</v>
      </c>
    </row>
    <row r="54" spans="1:16" s="19" customFormat="1" x14ac:dyDescent="0.25">
      <c r="A54" s="112" t="s">
        <v>88</v>
      </c>
      <c r="B54" s="112" t="s">
        <v>126</v>
      </c>
      <c r="C54" s="112" t="s">
        <v>127</v>
      </c>
      <c r="D54" s="112" t="s">
        <v>67</v>
      </c>
      <c r="E54" s="112"/>
      <c r="F54" s="112"/>
      <c r="G54" s="115"/>
      <c r="H54" s="116" t="s">
        <v>185</v>
      </c>
      <c r="I54" s="117"/>
      <c r="J54" s="117"/>
      <c r="K54" s="117"/>
      <c r="L54" s="90">
        <f t="shared" si="1"/>
        <v>735</v>
      </c>
      <c r="M54" s="35"/>
      <c r="N54" s="44">
        <v>700</v>
      </c>
      <c r="O54" s="85">
        <f>168*4</f>
        <v>672</v>
      </c>
      <c r="P54" s="26">
        <f t="shared" si="5"/>
        <v>735</v>
      </c>
    </row>
    <row r="55" spans="1:16" s="19" customFormat="1" x14ac:dyDescent="0.25">
      <c r="A55" s="112" t="s">
        <v>88</v>
      </c>
      <c r="B55" s="112" t="s">
        <v>186</v>
      </c>
      <c r="C55" s="112" t="s">
        <v>127</v>
      </c>
      <c r="D55" s="112" t="s">
        <v>67</v>
      </c>
      <c r="E55" s="112"/>
      <c r="F55" s="112"/>
      <c r="G55" s="115"/>
      <c r="H55" s="116" t="s">
        <v>185</v>
      </c>
      <c r="I55" s="117"/>
      <c r="J55" s="117"/>
      <c r="K55" s="117"/>
      <c r="L55" s="90">
        <f t="shared" si="1"/>
        <v>2415</v>
      </c>
      <c r="M55" s="35"/>
      <c r="N55" s="44">
        <v>2300</v>
      </c>
      <c r="O55" s="85">
        <f>4*3*168</f>
        <v>2016</v>
      </c>
      <c r="P55" s="26">
        <f t="shared" si="5"/>
        <v>2415</v>
      </c>
    </row>
    <row r="56" spans="1:16" s="19" customFormat="1" x14ac:dyDescent="0.25">
      <c r="A56" s="112" t="s">
        <v>88</v>
      </c>
      <c r="B56" s="112" t="s">
        <v>187</v>
      </c>
      <c r="C56" s="112" t="s">
        <v>188</v>
      </c>
      <c r="D56" s="112" t="s">
        <v>67</v>
      </c>
      <c r="E56" s="112"/>
      <c r="F56" s="112"/>
      <c r="G56" s="115"/>
      <c r="H56" s="116" t="s">
        <v>185</v>
      </c>
      <c r="I56" s="117"/>
      <c r="J56" s="117"/>
      <c r="K56" s="117"/>
      <c r="L56" s="90">
        <f t="shared" si="1"/>
        <v>1785</v>
      </c>
      <c r="M56" s="35"/>
      <c r="N56" s="44">
        <v>1700</v>
      </c>
      <c r="O56" s="85" t="s">
        <v>224</v>
      </c>
      <c r="P56" s="26">
        <f t="shared" si="5"/>
        <v>1785</v>
      </c>
    </row>
    <row r="57" spans="1:16" s="19" customFormat="1" x14ac:dyDescent="0.25">
      <c r="A57" s="112" t="s">
        <v>88</v>
      </c>
      <c r="B57" s="112" t="s">
        <v>120</v>
      </c>
      <c r="C57" s="112" t="s">
        <v>121</v>
      </c>
      <c r="D57" s="112" t="s">
        <v>67</v>
      </c>
      <c r="E57" s="112"/>
      <c r="F57" s="112"/>
      <c r="G57" s="115"/>
      <c r="H57" s="116" t="s">
        <v>185</v>
      </c>
      <c r="I57" s="117"/>
      <c r="J57" s="117"/>
      <c r="K57" s="117"/>
      <c r="L57" s="90">
        <f t="shared" si="1"/>
        <v>630</v>
      </c>
      <c r="M57" s="35"/>
      <c r="N57" s="44">
        <v>600</v>
      </c>
      <c r="O57" s="85" t="s">
        <v>225</v>
      </c>
      <c r="P57" s="26">
        <f t="shared" si="5"/>
        <v>630</v>
      </c>
    </row>
    <row r="58" spans="1:16" s="18" customFormat="1" x14ac:dyDescent="0.25">
      <c r="A58" s="11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31"/>
      <c r="N58" s="27"/>
      <c r="O58" s="27"/>
      <c r="P58" s="26"/>
    </row>
    <row r="59" spans="1:16" s="18" customFormat="1" x14ac:dyDescent="0.25">
      <c r="A59" s="167" t="s">
        <v>64</v>
      </c>
      <c r="B59" s="168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3"/>
      <c r="N59" s="27"/>
      <c r="O59" s="27"/>
      <c r="P59" s="26"/>
    </row>
    <row r="60" spans="1:16" x14ac:dyDescent="0.25">
      <c r="A60" s="22" t="s">
        <v>65</v>
      </c>
      <c r="B60" s="22" t="s">
        <v>191</v>
      </c>
      <c r="C60" s="22" t="s">
        <v>66</v>
      </c>
      <c r="D60" s="22" t="s">
        <v>67</v>
      </c>
      <c r="E60" s="22" t="s">
        <v>67</v>
      </c>
      <c r="F60" s="22" t="s">
        <v>67</v>
      </c>
      <c r="G60" s="23">
        <f>L60*6</f>
        <v>36</v>
      </c>
      <c r="H60" s="24" t="s">
        <v>20</v>
      </c>
      <c r="I60" s="25">
        <v>6000</v>
      </c>
      <c r="J60" s="25">
        <v>4</v>
      </c>
      <c r="K60" s="25">
        <v>6000</v>
      </c>
      <c r="L60" s="90">
        <f t="shared" si="1"/>
        <v>6</v>
      </c>
      <c r="M60" s="8">
        <v>0.33</v>
      </c>
      <c r="N60" s="55">
        <v>4</v>
      </c>
      <c r="O60" s="55">
        <f>(48*5+24*6+24*5+72*4)*0.04/6</f>
        <v>5.28</v>
      </c>
      <c r="P60" s="26">
        <f>O60*1.05</f>
        <v>5.5440000000000005</v>
      </c>
    </row>
    <row r="61" spans="1:16" s="18" customFormat="1" x14ac:dyDescent="0.25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53"/>
      <c r="M61" s="12"/>
      <c r="N61" s="27"/>
      <c r="O61" s="27"/>
      <c r="P61" s="26"/>
    </row>
    <row r="62" spans="1:16" s="18" customFormat="1" ht="15" customHeight="1" x14ac:dyDescent="0.25">
      <c r="A62" s="167" t="s">
        <v>68</v>
      </c>
      <c r="B62" s="168"/>
      <c r="C62" s="121"/>
      <c r="D62" s="121"/>
      <c r="E62" s="121"/>
      <c r="F62" s="121"/>
      <c r="G62" s="121"/>
      <c r="H62" s="121"/>
      <c r="I62" s="122"/>
      <c r="J62" s="122"/>
      <c r="K62" s="122"/>
      <c r="L62" s="154"/>
      <c r="M62" s="13"/>
      <c r="N62" s="27"/>
      <c r="O62" s="27"/>
      <c r="P62" s="26"/>
    </row>
    <row r="63" spans="1:16" x14ac:dyDescent="0.25">
      <c r="A63" s="22" t="s">
        <v>69</v>
      </c>
      <c r="B63" s="22" t="s">
        <v>70</v>
      </c>
      <c r="C63" s="22" t="s">
        <v>71</v>
      </c>
      <c r="D63" s="160" t="s">
        <v>72</v>
      </c>
      <c r="E63" s="161"/>
      <c r="F63" s="162"/>
      <c r="G63" s="25"/>
      <c r="H63" s="96" t="s">
        <v>73</v>
      </c>
      <c r="I63" s="99"/>
      <c r="J63" s="99"/>
      <c r="K63" s="99"/>
      <c r="L63" s="100">
        <f>N63+5</f>
        <v>605</v>
      </c>
      <c r="M63" s="71"/>
      <c r="N63" s="44">
        <v>600</v>
      </c>
      <c r="O63" s="44">
        <f>4*48+4*24+4*24+3*72</f>
        <v>600</v>
      </c>
      <c r="P63" s="26">
        <f t="shared" si="5"/>
        <v>630</v>
      </c>
    </row>
    <row r="64" spans="1:16" x14ac:dyDescent="0.25">
      <c r="A64" s="22" t="s">
        <v>69</v>
      </c>
      <c r="B64" s="22" t="s">
        <v>74</v>
      </c>
      <c r="C64" s="22" t="s">
        <v>75</v>
      </c>
      <c r="D64" s="160" t="s">
        <v>72</v>
      </c>
      <c r="E64" s="161"/>
      <c r="F64" s="162"/>
      <c r="G64" s="25"/>
      <c r="H64" s="96" t="s">
        <v>73</v>
      </c>
      <c r="I64" s="99"/>
      <c r="J64" s="99"/>
      <c r="K64" s="99"/>
      <c r="L64" s="100">
        <f t="shared" ref="L64:L66" si="6">N64+5</f>
        <v>605</v>
      </c>
      <c r="M64" s="71"/>
      <c r="N64" s="44">
        <v>600</v>
      </c>
      <c r="O64" s="44">
        <f>O63</f>
        <v>600</v>
      </c>
      <c r="P64" s="26">
        <f t="shared" si="5"/>
        <v>630</v>
      </c>
    </row>
    <row r="65" spans="1:17" x14ac:dyDescent="0.25">
      <c r="A65" s="22" t="s">
        <v>69</v>
      </c>
      <c r="B65" s="22" t="s">
        <v>76</v>
      </c>
      <c r="C65" s="22" t="s">
        <v>77</v>
      </c>
      <c r="D65" s="160" t="s">
        <v>72</v>
      </c>
      <c r="E65" s="161"/>
      <c r="F65" s="162"/>
      <c r="G65" s="25"/>
      <c r="H65" s="96" t="s">
        <v>73</v>
      </c>
      <c r="I65" s="99"/>
      <c r="J65" s="99"/>
      <c r="K65" s="99"/>
      <c r="L65" s="100">
        <f t="shared" si="6"/>
        <v>1205</v>
      </c>
      <c r="M65" s="71"/>
      <c r="N65" s="44">
        <v>1200</v>
      </c>
      <c r="O65" s="44">
        <f>8*96+6*72</f>
        <v>1200</v>
      </c>
      <c r="P65" s="26">
        <f t="shared" si="5"/>
        <v>1260</v>
      </c>
    </row>
    <row r="66" spans="1:17" ht="23.25" x14ac:dyDescent="0.25">
      <c r="A66" s="22" t="s">
        <v>69</v>
      </c>
      <c r="B66" s="22" t="s">
        <v>78</v>
      </c>
      <c r="C66" s="22" t="s">
        <v>79</v>
      </c>
      <c r="D66" s="160" t="s">
        <v>72</v>
      </c>
      <c r="E66" s="161"/>
      <c r="F66" s="162"/>
      <c r="G66" s="25"/>
      <c r="H66" s="96" t="s">
        <v>80</v>
      </c>
      <c r="I66" s="99"/>
      <c r="J66" s="99"/>
      <c r="K66" s="99"/>
      <c r="L66" s="100">
        <f t="shared" si="6"/>
        <v>605</v>
      </c>
      <c r="M66" s="71"/>
      <c r="N66" s="44">
        <v>600</v>
      </c>
      <c r="O66" s="44"/>
      <c r="P66" s="26">
        <f t="shared" si="5"/>
        <v>630</v>
      </c>
    </row>
    <row r="67" spans="1:17" s="18" customFormat="1" x14ac:dyDescent="0.25">
      <c r="A67" s="119"/>
      <c r="B67" s="120"/>
      <c r="C67" s="120"/>
      <c r="D67" s="120"/>
      <c r="E67" s="120"/>
      <c r="F67" s="120"/>
      <c r="G67" s="120"/>
      <c r="H67" s="120"/>
      <c r="I67" s="104"/>
      <c r="J67" s="104"/>
      <c r="K67" s="104"/>
      <c r="L67" s="155"/>
      <c r="M67" s="12"/>
      <c r="N67" s="26"/>
      <c r="O67" s="27"/>
      <c r="P67" s="26"/>
    </row>
    <row r="68" spans="1:17" s="18" customFormat="1" ht="15" customHeight="1" x14ac:dyDescent="0.25">
      <c r="A68" s="167" t="s">
        <v>81</v>
      </c>
      <c r="B68" s="168"/>
      <c r="C68" s="121"/>
      <c r="D68" s="121"/>
      <c r="E68" s="121"/>
      <c r="F68" s="121"/>
      <c r="G68" s="121"/>
      <c r="H68" s="121"/>
      <c r="I68" s="122"/>
      <c r="J68" s="122"/>
      <c r="K68" s="122"/>
      <c r="L68" s="154"/>
      <c r="M68" s="13"/>
      <c r="N68" s="26"/>
      <c r="O68" s="27"/>
      <c r="P68" s="26"/>
    </row>
    <row r="69" spans="1:17" x14ac:dyDescent="0.25">
      <c r="A69" s="22" t="s">
        <v>69</v>
      </c>
      <c r="B69" s="22">
        <v>2250</v>
      </c>
      <c r="C69" s="22" t="s">
        <v>82</v>
      </c>
      <c r="D69" s="22" t="s">
        <v>233</v>
      </c>
      <c r="E69" s="22"/>
      <c r="F69" s="22"/>
      <c r="G69" s="25"/>
      <c r="H69" s="76" t="s">
        <v>73</v>
      </c>
      <c r="I69" s="99"/>
      <c r="J69" s="99"/>
      <c r="K69" s="99"/>
      <c r="L69" s="100">
        <f>N69+1</f>
        <v>25</v>
      </c>
      <c r="M69" s="71"/>
      <c r="N69" s="44">
        <v>24</v>
      </c>
      <c r="O69" s="44">
        <v>24</v>
      </c>
    </row>
    <row r="70" spans="1:17" x14ac:dyDescent="0.25">
      <c r="A70" s="22" t="s">
        <v>69</v>
      </c>
      <c r="B70" s="22" t="s">
        <v>83</v>
      </c>
      <c r="C70" s="22" t="s">
        <v>84</v>
      </c>
      <c r="D70" s="22" t="s">
        <v>233</v>
      </c>
      <c r="E70" s="22"/>
      <c r="F70" s="22"/>
      <c r="G70" s="25"/>
      <c r="H70" s="76" t="s">
        <v>73</v>
      </c>
      <c r="I70" s="99"/>
      <c r="J70" s="99"/>
      <c r="K70" s="99"/>
      <c r="L70" s="100">
        <f>N70+2</f>
        <v>74</v>
      </c>
      <c r="M70" s="71"/>
      <c r="N70" s="44">
        <v>72</v>
      </c>
      <c r="O70" s="44">
        <f>24*3</f>
        <v>72</v>
      </c>
      <c r="Q70" s="66"/>
    </row>
    <row r="71" spans="1:17" x14ac:dyDescent="0.25">
      <c r="A71" s="22" t="s">
        <v>69</v>
      </c>
      <c r="B71" s="22" t="s">
        <v>85</v>
      </c>
      <c r="C71" s="22" t="s">
        <v>86</v>
      </c>
      <c r="D71" s="160" t="s">
        <v>72</v>
      </c>
      <c r="E71" s="161"/>
      <c r="F71" s="162"/>
      <c r="G71" s="25"/>
      <c r="H71" s="76" t="s">
        <v>80</v>
      </c>
      <c r="I71" s="99"/>
      <c r="J71" s="99"/>
      <c r="K71" s="99"/>
      <c r="L71" s="100">
        <f t="shared" ref="L71" si="7">N71+1</f>
        <v>25</v>
      </c>
      <c r="M71" s="71"/>
      <c r="N71" s="44">
        <v>24</v>
      </c>
      <c r="O71" s="44">
        <v>24</v>
      </c>
      <c r="Q71" s="66"/>
    </row>
    <row r="72" spans="1:17" s="18" customFormat="1" x14ac:dyDescent="0.25">
      <c r="A72" s="119"/>
      <c r="B72" s="120"/>
      <c r="C72" s="120"/>
      <c r="D72" s="120"/>
      <c r="E72" s="120"/>
      <c r="F72" s="120"/>
      <c r="G72" s="120"/>
      <c r="H72" s="120"/>
      <c r="I72" s="104"/>
      <c r="J72" s="104"/>
      <c r="K72" s="104"/>
      <c r="L72" s="155"/>
      <c r="M72" s="12"/>
      <c r="N72" s="27"/>
      <c r="O72" s="27"/>
      <c r="P72" s="26"/>
    </row>
    <row r="73" spans="1:17" s="18" customFormat="1" ht="15" customHeight="1" x14ac:dyDescent="0.25">
      <c r="A73" s="167" t="s">
        <v>87</v>
      </c>
      <c r="B73" s="168"/>
      <c r="C73" s="121"/>
      <c r="D73" s="121"/>
      <c r="E73" s="121"/>
      <c r="F73" s="121"/>
      <c r="G73" s="121"/>
      <c r="H73" s="121"/>
      <c r="I73" s="122"/>
      <c r="J73" s="122"/>
      <c r="K73" s="122"/>
      <c r="L73" s="154"/>
      <c r="M73" s="13"/>
      <c r="N73" s="27"/>
      <c r="O73" s="27"/>
      <c r="P73" s="26"/>
    </row>
    <row r="74" spans="1:17" x14ac:dyDescent="0.25">
      <c r="A74" s="22" t="s">
        <v>88</v>
      </c>
      <c r="B74" s="22" t="s">
        <v>89</v>
      </c>
      <c r="C74" s="22" t="s">
        <v>90</v>
      </c>
      <c r="D74" s="22" t="s">
        <v>67</v>
      </c>
      <c r="E74" s="174"/>
      <c r="F74" s="175"/>
      <c r="G74" s="25"/>
      <c r="H74" s="96" t="s">
        <v>73</v>
      </c>
      <c r="I74" s="99"/>
      <c r="J74" s="99"/>
      <c r="K74" s="99"/>
      <c r="L74" s="100">
        <f>_xlfn.CEILING.MATH(P74)</f>
        <v>4536</v>
      </c>
      <c r="M74" s="71"/>
      <c r="N74" s="44">
        <v>4320</v>
      </c>
      <c r="O74" s="44"/>
      <c r="P74" s="26">
        <f>N74*1.05</f>
        <v>4536</v>
      </c>
    </row>
    <row r="75" spans="1:17" x14ac:dyDescent="0.25">
      <c r="A75" s="22" t="s">
        <v>69</v>
      </c>
      <c r="B75" s="22"/>
      <c r="C75" s="22" t="s">
        <v>269</v>
      </c>
      <c r="D75" s="22" t="s">
        <v>72</v>
      </c>
      <c r="E75" s="174"/>
      <c r="F75" s="175"/>
      <c r="G75" s="25"/>
      <c r="H75" s="96" t="s">
        <v>93</v>
      </c>
      <c r="I75" s="99"/>
      <c r="J75" s="99"/>
      <c r="K75" s="99"/>
      <c r="L75" s="100">
        <f t="shared" ref="L75:L93" si="8">_xlfn.CEILING.MATH(P75)</f>
        <v>1260</v>
      </c>
      <c r="M75" s="71"/>
      <c r="N75" s="44">
        <v>1200</v>
      </c>
      <c r="O75" s="44"/>
      <c r="P75" s="26">
        <f t="shared" ref="P75:P89" si="9">N75*1.05</f>
        <v>1260</v>
      </c>
    </row>
    <row r="76" spans="1:17" x14ac:dyDescent="0.25">
      <c r="A76" s="22" t="s">
        <v>17</v>
      </c>
      <c r="B76" s="22" t="s">
        <v>94</v>
      </c>
      <c r="C76" s="22" t="s">
        <v>95</v>
      </c>
      <c r="D76" s="22" t="s">
        <v>47</v>
      </c>
      <c r="E76" s="174"/>
      <c r="F76" s="175"/>
      <c r="G76" s="25"/>
      <c r="H76" s="96" t="s">
        <v>73</v>
      </c>
      <c r="I76" s="99"/>
      <c r="J76" s="99"/>
      <c r="K76" s="99"/>
      <c r="L76" s="100">
        <f t="shared" si="8"/>
        <v>303</v>
      </c>
      <c r="M76" s="71"/>
      <c r="N76" s="44">
        <v>288</v>
      </c>
      <c r="O76" s="44">
        <f>4*72</f>
        <v>288</v>
      </c>
      <c r="P76" s="26">
        <f t="shared" si="9"/>
        <v>302.40000000000003</v>
      </c>
    </row>
    <row r="77" spans="1:17" x14ac:dyDescent="0.25">
      <c r="A77" s="22" t="s">
        <v>17</v>
      </c>
      <c r="B77" s="22" t="s">
        <v>96</v>
      </c>
      <c r="C77" s="22" t="s">
        <v>95</v>
      </c>
      <c r="D77" s="22" t="s">
        <v>47</v>
      </c>
      <c r="E77" s="174"/>
      <c r="F77" s="175"/>
      <c r="G77" s="25"/>
      <c r="H77" s="96" t="s">
        <v>73</v>
      </c>
      <c r="I77" s="99"/>
      <c r="J77" s="99"/>
      <c r="K77" s="99"/>
      <c r="L77" s="100">
        <f t="shared" si="8"/>
        <v>1664</v>
      </c>
      <c r="M77" s="71"/>
      <c r="N77" s="44">
        <v>1584</v>
      </c>
      <c r="O77" s="44">
        <f>22*72</f>
        <v>1584</v>
      </c>
      <c r="P77" s="26">
        <f t="shared" si="9"/>
        <v>1663.2</v>
      </c>
    </row>
    <row r="78" spans="1:17" x14ac:dyDescent="0.25">
      <c r="A78" s="22" t="s">
        <v>17</v>
      </c>
      <c r="B78" s="22" t="s">
        <v>97</v>
      </c>
      <c r="C78" s="22" t="s">
        <v>98</v>
      </c>
      <c r="D78" s="22" t="s">
        <v>47</v>
      </c>
      <c r="E78" s="174"/>
      <c r="F78" s="175"/>
      <c r="G78" s="25"/>
      <c r="H78" s="96" t="s">
        <v>73</v>
      </c>
      <c r="I78" s="99"/>
      <c r="J78" s="99"/>
      <c r="K78" s="99"/>
      <c r="L78" s="100">
        <f t="shared" si="8"/>
        <v>101</v>
      </c>
      <c r="M78" s="71"/>
      <c r="N78" s="44">
        <v>96</v>
      </c>
      <c r="O78" s="44">
        <f>24*4</f>
        <v>96</v>
      </c>
      <c r="P78" s="26">
        <f t="shared" si="9"/>
        <v>100.80000000000001</v>
      </c>
    </row>
    <row r="79" spans="1:17" x14ac:dyDescent="0.25">
      <c r="A79" s="22" t="s">
        <v>17</v>
      </c>
      <c r="B79" s="22" t="s">
        <v>99</v>
      </c>
      <c r="C79" s="22" t="s">
        <v>100</v>
      </c>
      <c r="D79" s="22" t="s">
        <v>47</v>
      </c>
      <c r="E79" s="174"/>
      <c r="F79" s="175"/>
      <c r="G79" s="25"/>
      <c r="H79" s="96" t="s">
        <v>73</v>
      </c>
      <c r="I79" s="99"/>
      <c r="J79" s="99"/>
      <c r="K79" s="99"/>
      <c r="L79" s="100">
        <f t="shared" si="8"/>
        <v>807</v>
      </c>
      <c r="M79" s="71"/>
      <c r="N79" s="44">
        <v>768</v>
      </c>
      <c r="O79" s="44">
        <f>8*96</f>
        <v>768</v>
      </c>
      <c r="P79" s="26">
        <f t="shared" si="9"/>
        <v>806.40000000000009</v>
      </c>
    </row>
    <row r="80" spans="1:17" x14ac:dyDescent="0.25">
      <c r="A80" s="22" t="s">
        <v>17</v>
      </c>
      <c r="B80" s="22" t="s">
        <v>101</v>
      </c>
      <c r="C80" s="22" t="s">
        <v>100</v>
      </c>
      <c r="D80" s="22" t="s">
        <v>47</v>
      </c>
      <c r="E80" s="174"/>
      <c r="F80" s="175"/>
      <c r="G80" s="25"/>
      <c r="H80" s="96" t="s">
        <v>73</v>
      </c>
      <c r="I80" s="99"/>
      <c r="J80" s="99"/>
      <c r="K80" s="99"/>
      <c r="L80" s="100">
        <f t="shared" si="8"/>
        <v>3075</v>
      </c>
      <c r="M80" s="71"/>
      <c r="N80" s="44">
        <v>2928</v>
      </c>
      <c r="O80" s="44">
        <f>28*96+10*24</f>
        <v>2928</v>
      </c>
      <c r="P80" s="26">
        <f t="shared" si="9"/>
        <v>3074.4</v>
      </c>
    </row>
    <row r="81" spans="1:17" s="18" customFormat="1" x14ac:dyDescent="0.25">
      <c r="A81" s="119"/>
      <c r="B81" s="120"/>
      <c r="C81" s="120"/>
      <c r="D81" s="120"/>
      <c r="E81" s="120"/>
      <c r="F81" s="120"/>
      <c r="G81" s="120"/>
      <c r="H81" s="120"/>
      <c r="I81" s="104"/>
      <c r="J81" s="104"/>
      <c r="K81" s="104"/>
      <c r="L81" s="104"/>
      <c r="M81" s="31"/>
      <c r="N81" s="27"/>
      <c r="O81" s="27"/>
      <c r="P81" s="26"/>
    </row>
    <row r="82" spans="1:17" s="18" customFormat="1" ht="15" customHeight="1" x14ac:dyDescent="0.25">
      <c r="A82" s="167" t="s">
        <v>102</v>
      </c>
      <c r="B82" s="168"/>
      <c r="C82" s="121"/>
      <c r="D82" s="121"/>
      <c r="E82" s="121"/>
      <c r="F82" s="121"/>
      <c r="G82" s="121"/>
      <c r="H82" s="121"/>
      <c r="I82" s="122"/>
      <c r="J82" s="122"/>
      <c r="K82" s="122"/>
      <c r="L82" s="122"/>
      <c r="M82" s="94"/>
      <c r="N82" s="27"/>
      <c r="O82" s="27"/>
      <c r="P82" s="26"/>
    </row>
    <row r="83" spans="1:17" x14ac:dyDescent="0.25">
      <c r="A83" s="22" t="s">
        <v>88</v>
      </c>
      <c r="B83" s="22" t="s">
        <v>273</v>
      </c>
      <c r="C83" s="22" t="s">
        <v>192</v>
      </c>
      <c r="D83" s="22" t="s">
        <v>67</v>
      </c>
      <c r="E83" s="174"/>
      <c r="F83" s="175"/>
      <c r="G83" s="25"/>
      <c r="H83" s="96" t="s">
        <v>73</v>
      </c>
      <c r="I83" s="99"/>
      <c r="J83" s="99"/>
      <c r="K83" s="99"/>
      <c r="L83" s="100">
        <f t="shared" si="8"/>
        <v>26</v>
      </c>
      <c r="M83" s="81"/>
      <c r="N83" s="44">
        <v>24</v>
      </c>
      <c r="O83" s="44">
        <v>24</v>
      </c>
      <c r="P83" s="26">
        <f t="shared" si="9"/>
        <v>25.200000000000003</v>
      </c>
    </row>
    <row r="84" spans="1:17" x14ac:dyDescent="0.25">
      <c r="A84" s="22" t="s">
        <v>88</v>
      </c>
      <c r="B84" s="22" t="s">
        <v>274</v>
      </c>
      <c r="C84" s="22" t="s">
        <v>193</v>
      </c>
      <c r="D84" s="22" t="s">
        <v>67</v>
      </c>
      <c r="E84" s="174"/>
      <c r="F84" s="175"/>
      <c r="G84" s="25"/>
      <c r="H84" s="96" t="s">
        <v>73</v>
      </c>
      <c r="I84" s="99"/>
      <c r="J84" s="99"/>
      <c r="K84" s="99"/>
      <c r="L84" s="100">
        <f t="shared" si="8"/>
        <v>504</v>
      </c>
      <c r="M84" s="81"/>
      <c r="N84" s="44">
        <v>480</v>
      </c>
      <c r="O84" s="44">
        <f>5*48+5*24+5*24</f>
        <v>480</v>
      </c>
      <c r="P84" s="26">
        <f t="shared" si="9"/>
        <v>504</v>
      </c>
    </row>
    <row r="85" spans="1:17" x14ac:dyDescent="0.25">
      <c r="A85" s="22" t="s">
        <v>88</v>
      </c>
      <c r="B85" s="22" t="s">
        <v>275</v>
      </c>
      <c r="C85" s="22" t="s">
        <v>194</v>
      </c>
      <c r="D85" s="22" t="s">
        <v>67</v>
      </c>
      <c r="E85" s="174"/>
      <c r="F85" s="175"/>
      <c r="G85" s="25"/>
      <c r="H85" s="96" t="s">
        <v>73</v>
      </c>
      <c r="I85" s="99"/>
      <c r="J85" s="99"/>
      <c r="K85" s="99"/>
      <c r="L85" s="100">
        <f t="shared" si="8"/>
        <v>303</v>
      </c>
      <c r="M85" s="81"/>
      <c r="N85" s="44">
        <v>288</v>
      </c>
      <c r="O85" s="44">
        <f>4*72</f>
        <v>288</v>
      </c>
      <c r="P85" s="26">
        <f t="shared" si="9"/>
        <v>302.40000000000003</v>
      </c>
    </row>
    <row r="86" spans="1:17" s="150" customFormat="1" x14ac:dyDescent="0.25">
      <c r="A86" s="22" t="s">
        <v>88</v>
      </c>
      <c r="B86" s="22" t="s">
        <v>277</v>
      </c>
      <c r="C86" s="22" t="s">
        <v>276</v>
      </c>
      <c r="D86" s="22" t="s">
        <v>67</v>
      </c>
      <c r="E86" s="144"/>
      <c r="F86" s="145"/>
      <c r="G86" s="25"/>
      <c r="H86" s="96" t="s">
        <v>73</v>
      </c>
      <c r="I86" s="148"/>
      <c r="J86" s="148"/>
      <c r="K86" s="148"/>
      <c r="L86" s="100">
        <v>30</v>
      </c>
      <c r="M86" s="151"/>
      <c r="N86" s="44"/>
      <c r="O86" s="44">
        <f>26</f>
        <v>26</v>
      </c>
      <c r="P86" s="26"/>
    </row>
    <row r="87" spans="1:17" s="150" customFormat="1" x14ac:dyDescent="0.25">
      <c r="A87" s="22" t="s">
        <v>88</v>
      </c>
      <c r="B87" s="22" t="s">
        <v>278</v>
      </c>
      <c r="C87" s="22" t="s">
        <v>279</v>
      </c>
      <c r="D87" s="22" t="s">
        <v>67</v>
      </c>
      <c r="E87" s="144"/>
      <c r="F87" s="145"/>
      <c r="G87" s="25"/>
      <c r="H87" s="96" t="s">
        <v>73</v>
      </c>
      <c r="I87" s="148"/>
      <c r="J87" s="148"/>
      <c r="K87" s="148"/>
      <c r="L87" s="100">
        <v>10</v>
      </c>
      <c r="M87" s="151"/>
      <c r="N87" s="44"/>
      <c r="O87" s="44"/>
      <c r="P87" s="26"/>
    </row>
    <row r="88" spans="1:17" x14ac:dyDescent="0.25">
      <c r="A88" s="22" t="s">
        <v>69</v>
      </c>
      <c r="B88" s="22" t="s">
        <v>106</v>
      </c>
      <c r="C88" s="22" t="s">
        <v>107</v>
      </c>
      <c r="D88" s="22" t="s">
        <v>72</v>
      </c>
      <c r="E88" s="174"/>
      <c r="F88" s="175"/>
      <c r="G88" s="25"/>
      <c r="H88" s="96" t="s">
        <v>73</v>
      </c>
      <c r="I88" s="99"/>
      <c r="J88" s="99"/>
      <c r="K88" s="99"/>
      <c r="L88" s="100">
        <f t="shared" si="8"/>
        <v>1361</v>
      </c>
      <c r="M88" s="81"/>
      <c r="N88" s="44">
        <v>1296</v>
      </c>
      <c r="O88" s="44">
        <f>16*72</f>
        <v>1152</v>
      </c>
      <c r="P88" s="26">
        <f t="shared" si="9"/>
        <v>1360.8</v>
      </c>
    </row>
    <row r="89" spans="1:17" x14ac:dyDescent="0.25">
      <c r="A89" s="22" t="s">
        <v>69</v>
      </c>
      <c r="B89" s="22" t="s">
        <v>108</v>
      </c>
      <c r="C89" s="22" t="s">
        <v>107</v>
      </c>
      <c r="D89" s="22" t="s">
        <v>72</v>
      </c>
      <c r="E89" s="174"/>
      <c r="F89" s="175"/>
      <c r="G89" s="25"/>
      <c r="H89" s="96" t="s">
        <v>73</v>
      </c>
      <c r="I89" s="99"/>
      <c r="J89" s="99"/>
      <c r="K89" s="99"/>
      <c r="L89" s="100">
        <f t="shared" si="8"/>
        <v>1361</v>
      </c>
      <c r="M89" s="81"/>
      <c r="N89" s="44">
        <v>1296</v>
      </c>
      <c r="O89" s="44">
        <f>O88</f>
        <v>1152</v>
      </c>
      <c r="P89" s="26">
        <f t="shared" si="9"/>
        <v>1360.8</v>
      </c>
    </row>
    <row r="90" spans="1:17" x14ac:dyDescent="0.25">
      <c r="A90" s="22" t="s">
        <v>109</v>
      </c>
      <c r="B90" s="22" t="s">
        <v>110</v>
      </c>
      <c r="C90" s="22" t="s">
        <v>107</v>
      </c>
      <c r="D90" s="22" t="s">
        <v>72</v>
      </c>
      <c r="E90" s="174"/>
      <c r="F90" s="175"/>
      <c r="G90" s="25"/>
      <c r="H90" s="96" t="s">
        <v>73</v>
      </c>
      <c r="I90" s="99"/>
      <c r="J90" s="99"/>
      <c r="K90" s="99"/>
      <c r="L90" s="100">
        <f t="shared" si="8"/>
        <v>9476</v>
      </c>
      <c r="M90" s="81"/>
      <c r="N90" s="44">
        <v>9792</v>
      </c>
      <c r="O90" s="44">
        <f>8*11*48+8*11*24+8*14*24</f>
        <v>9024</v>
      </c>
      <c r="P90" s="26">
        <f>O90*1.05</f>
        <v>9475.2000000000007</v>
      </c>
    </row>
    <row r="91" spans="1:17" x14ac:dyDescent="0.25">
      <c r="A91" s="22" t="s">
        <v>69</v>
      </c>
      <c r="B91" s="22" t="s">
        <v>111</v>
      </c>
      <c r="C91" s="22" t="s">
        <v>112</v>
      </c>
      <c r="D91" s="22" t="s">
        <v>72</v>
      </c>
      <c r="E91" s="174"/>
      <c r="F91" s="175"/>
      <c r="G91" s="25"/>
      <c r="H91" s="96" t="s">
        <v>73</v>
      </c>
      <c r="I91" s="99"/>
      <c r="J91" s="99"/>
      <c r="K91" s="99"/>
      <c r="L91" s="100">
        <f t="shared" si="8"/>
        <v>202</v>
      </c>
      <c r="M91" s="81"/>
      <c r="N91" s="44">
        <v>192</v>
      </c>
      <c r="O91" s="44">
        <f>8*24</f>
        <v>192</v>
      </c>
      <c r="P91" s="26">
        <f t="shared" ref="P91:P93" si="10">O91*1.05</f>
        <v>201.60000000000002</v>
      </c>
    </row>
    <row r="92" spans="1:17" x14ac:dyDescent="0.25">
      <c r="A92" s="22" t="s">
        <v>69</v>
      </c>
      <c r="B92" s="22" t="s">
        <v>113</v>
      </c>
      <c r="C92" s="22" t="s">
        <v>114</v>
      </c>
      <c r="D92" s="22" t="s">
        <v>72</v>
      </c>
      <c r="E92" s="174"/>
      <c r="F92" s="175"/>
      <c r="G92" s="25"/>
      <c r="H92" s="96" t="s">
        <v>73</v>
      </c>
      <c r="I92" s="99"/>
      <c r="J92" s="99"/>
      <c r="K92" s="99"/>
      <c r="L92" s="100">
        <f t="shared" si="8"/>
        <v>404</v>
      </c>
      <c r="M92" s="81"/>
      <c r="N92" s="44">
        <v>384</v>
      </c>
      <c r="O92" s="44">
        <f>4*96</f>
        <v>384</v>
      </c>
      <c r="P92" s="26">
        <f t="shared" si="10"/>
        <v>403.20000000000005</v>
      </c>
      <c r="Q92" s="26"/>
    </row>
    <row r="93" spans="1:17" x14ac:dyDescent="0.25">
      <c r="A93" s="111" t="s">
        <v>69</v>
      </c>
      <c r="B93" s="111" t="s">
        <v>115</v>
      </c>
      <c r="C93" s="111" t="s">
        <v>107</v>
      </c>
      <c r="D93" s="111" t="s">
        <v>72</v>
      </c>
      <c r="E93" s="176"/>
      <c r="F93" s="177"/>
      <c r="G93" s="123"/>
      <c r="H93" s="124" t="s">
        <v>73</v>
      </c>
      <c r="I93" s="125"/>
      <c r="J93" s="125"/>
      <c r="K93" s="125"/>
      <c r="L93" s="103">
        <f t="shared" si="8"/>
        <v>908</v>
      </c>
      <c r="M93" s="102"/>
      <c r="N93" s="61">
        <v>2300</v>
      </c>
      <c r="O93" s="61">
        <f>12*72</f>
        <v>864</v>
      </c>
      <c r="P93" s="26">
        <f t="shared" si="10"/>
        <v>907.2</v>
      </c>
    </row>
    <row r="94" spans="1:17" s="18" customFormat="1" ht="26.25" customHeight="1" x14ac:dyDescent="0.25">
      <c r="A94" s="112" t="s">
        <v>88</v>
      </c>
      <c r="B94" s="99" t="s">
        <v>230</v>
      </c>
      <c r="C94" s="99" t="s">
        <v>229</v>
      </c>
      <c r="D94" s="99"/>
      <c r="E94" s="190"/>
      <c r="F94" s="190"/>
      <c r="G94" s="99"/>
      <c r="H94" s="116" t="s">
        <v>73</v>
      </c>
      <c r="I94" s="99"/>
      <c r="J94" s="99"/>
      <c r="K94" s="99"/>
      <c r="L94" s="100">
        <f>_xlfn.CEILING.MATH(P94)</f>
        <v>1798</v>
      </c>
      <c r="M94" s="81"/>
      <c r="N94" s="44"/>
      <c r="O94" s="44">
        <f>10*48+12*24+10*24+8*72+50</f>
        <v>1634</v>
      </c>
      <c r="P94" s="26">
        <f>O94*1.1</f>
        <v>1797.4</v>
      </c>
    </row>
    <row r="95" spans="1:17" s="82" customFormat="1" x14ac:dyDescent="0.25">
      <c r="A95" s="11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31"/>
      <c r="N95" s="106"/>
      <c r="O95" s="106"/>
      <c r="P95" s="26"/>
    </row>
    <row r="96" spans="1:17" s="18" customFormat="1" ht="15" customHeight="1" x14ac:dyDescent="0.25">
      <c r="A96" s="167" t="s">
        <v>116</v>
      </c>
      <c r="B96" s="168"/>
      <c r="C96" s="121"/>
      <c r="D96" s="121"/>
      <c r="E96" s="121"/>
      <c r="F96" s="121"/>
      <c r="G96" s="121"/>
      <c r="H96" s="121"/>
      <c r="I96" s="122"/>
      <c r="J96" s="122"/>
      <c r="K96" s="122"/>
      <c r="L96" s="122"/>
      <c r="M96" s="94"/>
      <c r="N96" s="27"/>
      <c r="O96" s="27"/>
      <c r="P96" s="26"/>
    </row>
    <row r="97" spans="1:20" x14ac:dyDescent="0.25">
      <c r="A97" s="22" t="s">
        <v>88</v>
      </c>
      <c r="B97" s="22" t="s">
        <v>117</v>
      </c>
      <c r="C97" s="22" t="s">
        <v>90</v>
      </c>
      <c r="D97" s="22" t="s">
        <v>72</v>
      </c>
      <c r="E97" s="174"/>
      <c r="F97" s="175"/>
      <c r="G97" s="25"/>
      <c r="H97" s="96" t="s">
        <v>73</v>
      </c>
      <c r="I97" s="99"/>
      <c r="J97" s="99"/>
      <c r="K97" s="99"/>
      <c r="L97" s="100">
        <f t="shared" ref="L97:L128" si="11">_xlfn.CEILING.MATH(P97)</f>
        <v>3990</v>
      </c>
      <c r="M97" s="71"/>
      <c r="N97" s="44">
        <v>3800</v>
      </c>
      <c r="O97" s="44">
        <f>12*2*72+12*4*48+12*4*24+12*4*24+4*2*96+4*72</f>
        <v>7392</v>
      </c>
      <c r="P97" s="26">
        <f>N97*1.05</f>
        <v>3990</v>
      </c>
    </row>
    <row r="98" spans="1:20" x14ac:dyDescent="0.25">
      <c r="A98" s="22" t="s">
        <v>88</v>
      </c>
      <c r="B98" s="22" t="s">
        <v>118</v>
      </c>
      <c r="C98" s="22" t="s">
        <v>119</v>
      </c>
      <c r="D98" s="22" t="s">
        <v>67</v>
      </c>
      <c r="E98" s="174"/>
      <c r="F98" s="175"/>
      <c r="G98" s="25"/>
      <c r="H98" s="96" t="s">
        <v>73</v>
      </c>
      <c r="I98" s="99"/>
      <c r="J98" s="99"/>
      <c r="K98" s="99"/>
      <c r="L98" s="100">
        <f t="shared" si="11"/>
        <v>3780</v>
      </c>
      <c r="M98" s="71"/>
      <c r="N98" s="44">
        <v>3600</v>
      </c>
      <c r="O98" s="44"/>
      <c r="P98" s="26">
        <f t="shared" ref="P98:P108" si="12">N98*1.05</f>
        <v>3780</v>
      </c>
    </row>
    <row r="99" spans="1:20" x14ac:dyDescent="0.25">
      <c r="A99" s="22" t="s">
        <v>88</v>
      </c>
      <c r="B99" s="22" t="s">
        <v>120</v>
      </c>
      <c r="C99" s="22" t="s">
        <v>121</v>
      </c>
      <c r="D99" s="22" t="s">
        <v>72</v>
      </c>
      <c r="E99" s="174"/>
      <c r="F99" s="175"/>
      <c r="G99" s="25"/>
      <c r="H99" s="96" t="s">
        <v>73</v>
      </c>
      <c r="I99" s="99"/>
      <c r="J99" s="99"/>
      <c r="K99" s="99"/>
      <c r="L99" s="100">
        <f t="shared" si="11"/>
        <v>152</v>
      </c>
      <c r="M99" s="71"/>
      <c r="N99" s="44">
        <v>144</v>
      </c>
      <c r="O99" s="44">
        <f>O100</f>
        <v>144</v>
      </c>
      <c r="P99" s="26">
        <f t="shared" si="12"/>
        <v>151.20000000000002</v>
      </c>
    </row>
    <row r="100" spans="1:20" x14ac:dyDescent="0.25">
      <c r="A100" s="22" t="s">
        <v>88</v>
      </c>
      <c r="B100" s="22" t="s">
        <v>122</v>
      </c>
      <c r="C100" s="22" t="s">
        <v>123</v>
      </c>
      <c r="D100" s="22" t="s">
        <v>72</v>
      </c>
      <c r="E100" s="174"/>
      <c r="F100" s="175"/>
      <c r="G100" s="25"/>
      <c r="H100" s="96" t="s">
        <v>73</v>
      </c>
      <c r="I100" s="99"/>
      <c r="J100" s="99"/>
      <c r="K100" s="99"/>
      <c r="L100" s="100">
        <f t="shared" si="11"/>
        <v>152</v>
      </c>
      <c r="M100" s="71"/>
      <c r="N100" s="44">
        <v>144</v>
      </c>
      <c r="O100" s="44">
        <f>6*24</f>
        <v>144</v>
      </c>
      <c r="P100" s="26">
        <f t="shared" si="12"/>
        <v>151.20000000000002</v>
      </c>
    </row>
    <row r="101" spans="1:20" x14ac:dyDescent="0.25">
      <c r="A101" s="22" t="s">
        <v>88</v>
      </c>
      <c r="B101" s="22" t="s">
        <v>124</v>
      </c>
      <c r="C101" s="22" t="s">
        <v>125</v>
      </c>
      <c r="D101" s="22" t="s">
        <v>72</v>
      </c>
      <c r="E101" s="174"/>
      <c r="F101" s="175"/>
      <c r="G101" s="25"/>
      <c r="H101" s="96" t="s">
        <v>73</v>
      </c>
      <c r="I101" s="99"/>
      <c r="J101" s="99"/>
      <c r="K101" s="99"/>
      <c r="L101" s="100">
        <f t="shared" si="11"/>
        <v>605</v>
      </c>
      <c r="M101" s="71"/>
      <c r="N101" s="44">
        <v>288</v>
      </c>
      <c r="O101" s="44">
        <f>O76*2</f>
        <v>576</v>
      </c>
      <c r="P101" s="26">
        <f>O101*1.05</f>
        <v>604.80000000000007</v>
      </c>
      <c r="Q101" s="26"/>
      <c r="R101" s="26"/>
      <c r="S101" s="26"/>
      <c r="T101" s="26"/>
    </row>
    <row r="102" spans="1:20" x14ac:dyDescent="0.25">
      <c r="A102" s="22" t="s">
        <v>88</v>
      </c>
      <c r="B102" s="22" t="s">
        <v>126</v>
      </c>
      <c r="C102" s="22" t="s">
        <v>127</v>
      </c>
      <c r="D102" s="22" t="s">
        <v>72</v>
      </c>
      <c r="E102" s="174"/>
      <c r="F102" s="175"/>
      <c r="G102" s="25"/>
      <c r="H102" s="96" t="s">
        <v>73</v>
      </c>
      <c r="I102" s="99"/>
      <c r="J102" s="99"/>
      <c r="K102" s="99"/>
      <c r="L102" s="100">
        <f t="shared" si="11"/>
        <v>6930</v>
      </c>
      <c r="M102" s="71"/>
      <c r="N102" s="44">
        <v>6600</v>
      </c>
      <c r="O102" s="44">
        <f>4*8*72+4*10*48+4*10*24+4*10*24+2*2*24</f>
        <v>6240</v>
      </c>
      <c r="P102" s="26">
        <f t="shared" si="12"/>
        <v>6930</v>
      </c>
    </row>
    <row r="103" spans="1:20" s="26" customFormat="1" x14ac:dyDescent="0.25">
      <c r="A103" s="22" t="s">
        <v>88</v>
      </c>
      <c r="B103" s="22" t="s">
        <v>196</v>
      </c>
      <c r="C103" s="22" t="s">
        <v>197</v>
      </c>
      <c r="D103" s="22" t="s">
        <v>67</v>
      </c>
      <c r="E103" s="174"/>
      <c r="F103" s="175"/>
      <c r="G103" s="25"/>
      <c r="H103" s="96" t="s">
        <v>73</v>
      </c>
      <c r="I103" s="99"/>
      <c r="J103" s="99"/>
      <c r="K103" s="99"/>
      <c r="L103" s="100">
        <f t="shared" si="11"/>
        <v>1664</v>
      </c>
      <c r="M103" s="78"/>
      <c r="N103" s="44">
        <v>1584</v>
      </c>
      <c r="O103" s="44">
        <f>O104*2</f>
        <v>1584</v>
      </c>
      <c r="P103" s="26">
        <f t="shared" si="12"/>
        <v>1663.2</v>
      </c>
    </row>
    <row r="104" spans="1:20" s="26" customFormat="1" x14ac:dyDescent="0.25">
      <c r="A104" s="22" t="s">
        <v>88</v>
      </c>
      <c r="B104" s="22" t="s">
        <v>198</v>
      </c>
      <c r="C104" s="22" t="s">
        <v>195</v>
      </c>
      <c r="D104" s="22" t="s">
        <v>67</v>
      </c>
      <c r="E104" s="174"/>
      <c r="F104" s="175"/>
      <c r="G104" s="25"/>
      <c r="H104" s="96" t="s">
        <v>73</v>
      </c>
      <c r="I104" s="99"/>
      <c r="J104" s="99"/>
      <c r="K104" s="99"/>
      <c r="L104" s="100">
        <f t="shared" si="11"/>
        <v>832</v>
      </c>
      <c r="M104" s="78"/>
      <c r="N104" s="44">
        <v>792</v>
      </c>
      <c r="O104" s="44">
        <f>O83+O84+O85</f>
        <v>792</v>
      </c>
      <c r="P104" s="26">
        <f t="shared" si="12"/>
        <v>831.6</v>
      </c>
    </row>
    <row r="105" spans="1:20" x14ac:dyDescent="0.25">
      <c r="A105" s="22" t="s">
        <v>88</v>
      </c>
      <c r="B105" s="22" t="s">
        <v>128</v>
      </c>
      <c r="C105" s="22" t="s">
        <v>129</v>
      </c>
      <c r="D105" s="22" t="s">
        <v>72</v>
      </c>
      <c r="E105" s="174"/>
      <c r="F105" s="175"/>
      <c r="G105" s="25"/>
      <c r="H105" s="96" t="s">
        <v>73</v>
      </c>
      <c r="I105" s="99"/>
      <c r="J105" s="99"/>
      <c r="K105" s="99"/>
      <c r="L105" s="100">
        <f t="shared" si="11"/>
        <v>2520</v>
      </c>
      <c r="M105" s="71"/>
      <c r="N105" s="44">
        <v>2400</v>
      </c>
      <c r="O105" s="44"/>
      <c r="P105" s="26">
        <f t="shared" si="12"/>
        <v>2520</v>
      </c>
    </row>
    <row r="106" spans="1:20" x14ac:dyDescent="0.25">
      <c r="A106" s="22" t="s">
        <v>88</v>
      </c>
      <c r="B106" s="22" t="s">
        <v>130</v>
      </c>
      <c r="C106" s="22" t="s">
        <v>131</v>
      </c>
      <c r="D106" s="22" t="s">
        <v>72</v>
      </c>
      <c r="E106" s="174"/>
      <c r="F106" s="175"/>
      <c r="G106" s="25"/>
      <c r="H106" s="96" t="s">
        <v>73</v>
      </c>
      <c r="I106" s="99"/>
      <c r="J106" s="99"/>
      <c r="K106" s="99"/>
      <c r="L106" s="100">
        <f t="shared" si="11"/>
        <v>1995</v>
      </c>
      <c r="M106" s="71"/>
      <c r="N106" s="44">
        <v>1900</v>
      </c>
      <c r="O106" s="44">
        <f>N101+O77</f>
        <v>1872</v>
      </c>
      <c r="P106" s="26">
        <f t="shared" si="12"/>
        <v>1995</v>
      </c>
    </row>
    <row r="107" spans="1:20" x14ac:dyDescent="0.25">
      <c r="A107" s="22" t="s">
        <v>88</v>
      </c>
      <c r="B107" s="22" t="s">
        <v>132</v>
      </c>
      <c r="C107" s="22" t="s">
        <v>133</v>
      </c>
      <c r="D107" s="22" t="s">
        <v>72</v>
      </c>
      <c r="E107" s="174"/>
      <c r="F107" s="175"/>
      <c r="G107" s="25"/>
      <c r="H107" s="96" t="s">
        <v>73</v>
      </c>
      <c r="I107" s="99"/>
      <c r="J107" s="99"/>
      <c r="K107" s="99"/>
      <c r="L107" s="100">
        <f t="shared" si="11"/>
        <v>303</v>
      </c>
      <c r="M107" s="71"/>
      <c r="N107" s="44">
        <v>288</v>
      </c>
      <c r="O107" s="44">
        <f>O76</f>
        <v>288</v>
      </c>
      <c r="P107" s="26">
        <f t="shared" si="12"/>
        <v>302.40000000000003</v>
      </c>
    </row>
    <row r="108" spans="1:20" x14ac:dyDescent="0.25">
      <c r="A108" s="22" t="s">
        <v>88</v>
      </c>
      <c r="B108" s="22" t="s">
        <v>134</v>
      </c>
      <c r="C108" s="22" t="s">
        <v>135</v>
      </c>
      <c r="D108" s="22" t="s">
        <v>72</v>
      </c>
      <c r="E108" s="174"/>
      <c r="F108" s="175"/>
      <c r="G108" s="25"/>
      <c r="H108" s="96" t="s">
        <v>73</v>
      </c>
      <c r="I108" s="99"/>
      <c r="J108" s="99"/>
      <c r="K108" s="99"/>
      <c r="L108" s="100">
        <f t="shared" si="11"/>
        <v>1664</v>
      </c>
      <c r="M108" s="71"/>
      <c r="N108" s="44">
        <v>1584</v>
      </c>
      <c r="O108" s="44">
        <f>O77</f>
        <v>1584</v>
      </c>
      <c r="P108" s="26">
        <f t="shared" si="12"/>
        <v>1663.2</v>
      </c>
    </row>
    <row r="109" spans="1:20" x14ac:dyDescent="0.25">
      <c r="A109" s="112" t="s">
        <v>69</v>
      </c>
      <c r="B109" s="112" t="s">
        <v>208</v>
      </c>
      <c r="C109" s="112" t="s">
        <v>207</v>
      </c>
      <c r="D109" s="112" t="s">
        <v>47</v>
      </c>
      <c r="E109" s="180"/>
      <c r="F109" s="180"/>
      <c r="G109" s="117"/>
      <c r="H109" s="126" t="s">
        <v>209</v>
      </c>
      <c r="I109" s="99"/>
      <c r="J109" s="99"/>
      <c r="K109" s="99"/>
      <c r="L109" s="100">
        <f t="shared" si="11"/>
        <v>45</v>
      </c>
      <c r="M109" s="98"/>
      <c r="N109" s="44">
        <v>48</v>
      </c>
      <c r="O109" s="44">
        <f>(125*2*48+125*2*24+125*2*24+125*2*72)/1000</f>
        <v>42</v>
      </c>
      <c r="P109" s="26">
        <f>O109*1.05</f>
        <v>44.1</v>
      </c>
    </row>
    <row r="110" spans="1:20" s="54" customFormat="1" x14ac:dyDescent="0.25">
      <c r="A110" s="112" t="s">
        <v>69</v>
      </c>
      <c r="B110" s="112" t="s">
        <v>208</v>
      </c>
      <c r="C110" s="112" t="s">
        <v>206</v>
      </c>
      <c r="D110" s="112" t="s">
        <v>47</v>
      </c>
      <c r="E110" s="178"/>
      <c r="F110" s="179"/>
      <c r="G110" s="117"/>
      <c r="H110" s="126" t="s">
        <v>209</v>
      </c>
      <c r="I110" s="116"/>
      <c r="J110" s="116"/>
      <c r="K110" s="116"/>
      <c r="L110" s="100">
        <f t="shared" si="11"/>
        <v>201</v>
      </c>
      <c r="M110" s="65"/>
      <c r="N110" s="44">
        <v>147</v>
      </c>
      <c r="O110" s="44">
        <f>(125*8*48+125*8*24+125*10*24+125*6*72+180*100+225*35)/1000</f>
        <v>181.875</v>
      </c>
      <c r="P110" s="26">
        <f>O110*1.1</f>
        <v>200.06250000000003</v>
      </c>
    </row>
    <row r="111" spans="1:20" s="150" customFormat="1" x14ac:dyDescent="0.25">
      <c r="A111" s="112" t="s">
        <v>69</v>
      </c>
      <c r="B111" s="112" t="s">
        <v>208</v>
      </c>
      <c r="C111" s="112" t="s">
        <v>271</v>
      </c>
      <c r="D111" s="112" t="s">
        <v>47</v>
      </c>
      <c r="E111" s="146"/>
      <c r="F111" s="147"/>
      <c r="G111" s="117"/>
      <c r="H111" s="146" t="s">
        <v>209</v>
      </c>
      <c r="I111" s="149"/>
      <c r="J111" s="149"/>
      <c r="K111" s="149"/>
      <c r="L111" s="100">
        <f t="shared" si="11"/>
        <v>24</v>
      </c>
      <c r="M111" s="65"/>
      <c r="N111" s="44"/>
      <c r="O111" s="44">
        <f>(310*2*(6+6+12+4+2+4+2))/1000</f>
        <v>22.32</v>
      </c>
      <c r="P111" s="26">
        <f t="shared" ref="P111:P121" si="13">O111*1.05</f>
        <v>23.436</v>
      </c>
    </row>
    <row r="112" spans="1:20" s="18" customFormat="1" x14ac:dyDescent="0.25">
      <c r="A112" s="112" t="s">
        <v>69</v>
      </c>
      <c r="B112" s="99" t="s">
        <v>235</v>
      </c>
      <c r="C112" s="99" t="s">
        <v>231</v>
      </c>
      <c r="D112" s="99" t="s">
        <v>72</v>
      </c>
      <c r="E112" s="178"/>
      <c r="F112" s="179"/>
      <c r="G112" s="99"/>
      <c r="H112" s="126" t="s">
        <v>232</v>
      </c>
      <c r="I112" s="99"/>
      <c r="J112" s="99"/>
      <c r="K112" s="99"/>
      <c r="L112" s="100">
        <f t="shared" si="11"/>
        <v>29</v>
      </c>
      <c r="M112" s="81"/>
      <c r="N112" s="44"/>
      <c r="O112" s="85">
        <f>O110*0.12+O109*0.05+R135*(10*48+10*24+12*24+8*72)</f>
        <v>27.093</v>
      </c>
      <c r="P112" s="26">
        <f t="shared" si="13"/>
        <v>28.447649999999999</v>
      </c>
    </row>
    <row r="113" spans="1:16" s="82" customFormat="1" x14ac:dyDescent="0.25">
      <c r="A113" s="112" t="s">
        <v>69</v>
      </c>
      <c r="B113" s="99"/>
      <c r="C113" s="99" t="s">
        <v>234</v>
      </c>
      <c r="D113" s="99"/>
      <c r="E113" s="178"/>
      <c r="F113" s="179"/>
      <c r="G113" s="99"/>
      <c r="H113" s="116" t="s">
        <v>238</v>
      </c>
      <c r="I113" s="99"/>
      <c r="J113" s="99"/>
      <c r="K113" s="99"/>
      <c r="L113" s="100">
        <v>705</v>
      </c>
      <c r="M113" s="81"/>
      <c r="N113" s="44"/>
      <c r="O113" s="85">
        <f>(J145*2+K145*2)*0.1</f>
        <v>257.08800000000002</v>
      </c>
      <c r="P113" s="26">
        <f t="shared" si="13"/>
        <v>269.94240000000002</v>
      </c>
    </row>
    <row r="114" spans="1:16" s="82" customFormat="1" x14ac:dyDescent="0.25">
      <c r="A114" s="112" t="s">
        <v>88</v>
      </c>
      <c r="B114" s="99"/>
      <c r="C114" s="99" t="s">
        <v>236</v>
      </c>
      <c r="D114" s="99"/>
      <c r="E114" s="178"/>
      <c r="F114" s="179"/>
      <c r="G114" s="99"/>
      <c r="H114" s="116" t="s">
        <v>73</v>
      </c>
      <c r="I114" s="99"/>
      <c r="J114" s="99"/>
      <c r="K114" s="99"/>
      <c r="L114" s="100">
        <f t="shared" si="11"/>
        <v>9467</v>
      </c>
      <c r="M114" s="81"/>
      <c r="N114" s="44"/>
      <c r="O114" s="85">
        <f>2*((J145+K145)/0.3)+N140/0.3</f>
        <v>9016</v>
      </c>
      <c r="P114" s="26">
        <f t="shared" si="13"/>
        <v>9466.8000000000011</v>
      </c>
    </row>
    <row r="115" spans="1:16" s="82" customFormat="1" x14ac:dyDescent="0.25">
      <c r="A115" s="112" t="s">
        <v>88</v>
      </c>
      <c r="B115" s="99"/>
      <c r="C115" s="99" t="s">
        <v>237</v>
      </c>
      <c r="D115" s="99"/>
      <c r="E115" s="178"/>
      <c r="F115" s="179"/>
      <c r="G115" s="99"/>
      <c r="H115" s="116" t="s">
        <v>73</v>
      </c>
      <c r="I115" s="99"/>
      <c r="J115" s="99"/>
      <c r="K115" s="99"/>
      <c r="L115" s="100">
        <f t="shared" si="11"/>
        <v>19779</v>
      </c>
      <c r="M115" s="81"/>
      <c r="N115" s="44"/>
      <c r="O115" s="85">
        <f>((J145+K145)/0.3)+((L145*2)/0.3)+((N140*2)/0.3)+(((J145+K145)/0.3)+L145/0.3)</f>
        <v>18836.8</v>
      </c>
      <c r="P115" s="26">
        <f t="shared" si="13"/>
        <v>19778.64</v>
      </c>
    </row>
    <row r="116" spans="1:16" s="82" customFormat="1" x14ac:dyDescent="0.25">
      <c r="A116" s="112" t="s">
        <v>88</v>
      </c>
      <c r="B116" s="99"/>
      <c r="C116" s="99" t="s">
        <v>280</v>
      </c>
      <c r="D116" s="99"/>
      <c r="E116" s="178"/>
      <c r="F116" s="179"/>
      <c r="G116" s="99"/>
      <c r="H116" s="116" t="s">
        <v>73</v>
      </c>
      <c r="I116" s="99"/>
      <c r="J116" s="99"/>
      <c r="K116" s="99"/>
      <c r="L116" s="100">
        <f t="shared" si="11"/>
        <v>84</v>
      </c>
      <c r="M116" s="81"/>
      <c r="N116" s="44"/>
      <c r="O116" s="85">
        <v>80</v>
      </c>
      <c r="P116" s="26">
        <f t="shared" si="13"/>
        <v>84</v>
      </c>
    </row>
    <row r="117" spans="1:16" s="82" customFormat="1" x14ac:dyDescent="0.25">
      <c r="A117" s="112" t="s">
        <v>69</v>
      </c>
      <c r="B117" s="99"/>
      <c r="C117" s="99" t="s">
        <v>249</v>
      </c>
      <c r="D117" s="99"/>
      <c r="E117" s="178"/>
      <c r="F117" s="179"/>
      <c r="G117" s="99"/>
      <c r="H117" s="116" t="s">
        <v>246</v>
      </c>
      <c r="I117" s="99"/>
      <c r="J117" s="99"/>
      <c r="K117" s="99"/>
      <c r="L117" s="100">
        <f t="shared" si="11"/>
        <v>2644</v>
      </c>
      <c r="M117" s="81"/>
      <c r="N117" s="44"/>
      <c r="O117" s="85">
        <f>J145+L145*2</f>
        <v>2517.6</v>
      </c>
      <c r="P117" s="26">
        <f t="shared" si="13"/>
        <v>2643.48</v>
      </c>
    </row>
    <row r="118" spans="1:16" s="150" customFormat="1" x14ac:dyDescent="0.25">
      <c r="A118" s="112" t="s">
        <v>69</v>
      </c>
      <c r="B118" s="148"/>
      <c r="C118" s="148" t="s">
        <v>270</v>
      </c>
      <c r="D118" s="148"/>
      <c r="E118" s="146"/>
      <c r="F118" s="147"/>
      <c r="G118" s="148"/>
      <c r="H118" s="149" t="s">
        <v>246</v>
      </c>
      <c r="I118" s="148"/>
      <c r="J118" s="148"/>
      <c r="K118" s="148"/>
      <c r="L118" s="100">
        <f t="shared" si="11"/>
        <v>57</v>
      </c>
      <c r="M118" s="151"/>
      <c r="N118" s="44"/>
      <c r="O118" s="85">
        <f>4.3*4+5*2+4.1*2+3*6</f>
        <v>53.4</v>
      </c>
      <c r="P118" s="26">
        <f t="shared" si="13"/>
        <v>56.07</v>
      </c>
    </row>
    <row r="119" spans="1:16" s="82" customFormat="1" x14ac:dyDescent="0.25">
      <c r="A119" s="112" t="s">
        <v>69</v>
      </c>
      <c r="B119" s="99"/>
      <c r="C119" s="99" t="s">
        <v>239</v>
      </c>
      <c r="D119" s="99" t="s">
        <v>233</v>
      </c>
      <c r="E119" s="178"/>
      <c r="F119" s="179"/>
      <c r="G119" s="99"/>
      <c r="H119" s="116" t="s">
        <v>232</v>
      </c>
      <c r="I119" s="99"/>
      <c r="J119" s="99"/>
      <c r="K119" s="99"/>
      <c r="L119" s="100">
        <v>760</v>
      </c>
      <c r="M119" s="81"/>
      <c r="N119" s="44"/>
      <c r="O119" s="85">
        <f>P140</f>
        <v>613.55280000000016</v>
      </c>
      <c r="P119" s="26">
        <f>O119*1.1</f>
        <v>674.90808000000027</v>
      </c>
    </row>
    <row r="120" spans="1:16" s="150" customFormat="1" x14ac:dyDescent="0.25">
      <c r="A120" s="112" t="s">
        <v>69</v>
      </c>
      <c r="B120" s="148"/>
      <c r="C120" s="148" t="s">
        <v>272</v>
      </c>
      <c r="D120" s="148" t="s">
        <v>233</v>
      </c>
      <c r="E120" s="146"/>
      <c r="F120" s="147"/>
      <c r="G120" s="148"/>
      <c r="H120" s="149" t="s">
        <v>232</v>
      </c>
      <c r="I120" s="148"/>
      <c r="J120" s="148"/>
      <c r="K120" s="148"/>
      <c r="L120" s="100">
        <f t="shared" si="11"/>
        <v>17</v>
      </c>
      <c r="M120" s="151"/>
      <c r="N120" s="44"/>
      <c r="O120" s="85">
        <v>15</v>
      </c>
      <c r="P120" s="26">
        <f>O120*1.1</f>
        <v>16.5</v>
      </c>
    </row>
    <row r="121" spans="1:16" s="82" customFormat="1" ht="18" customHeight="1" x14ac:dyDescent="0.25">
      <c r="A121" s="112" t="s">
        <v>109</v>
      </c>
      <c r="B121" s="99" t="s">
        <v>146</v>
      </c>
      <c r="C121" s="99" t="s">
        <v>248</v>
      </c>
      <c r="D121" s="99" t="s">
        <v>247</v>
      </c>
      <c r="E121" s="178"/>
      <c r="F121" s="179"/>
      <c r="G121" s="99"/>
      <c r="H121" s="116" t="s">
        <v>73</v>
      </c>
      <c r="I121" s="99"/>
      <c r="J121" s="99"/>
      <c r="K121" s="99"/>
      <c r="L121" s="100">
        <f t="shared" si="11"/>
        <v>230</v>
      </c>
      <c r="M121" s="81"/>
      <c r="N121" s="44"/>
      <c r="O121" s="85">
        <v>219</v>
      </c>
      <c r="P121" s="26">
        <f t="shared" si="13"/>
        <v>229.95000000000002</v>
      </c>
    </row>
    <row r="122" spans="1:16" s="82" customFormat="1" x14ac:dyDescent="0.25">
      <c r="A122" s="127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31"/>
      <c r="N122" s="106"/>
      <c r="O122" s="108"/>
      <c r="P122" s="26"/>
    </row>
    <row r="123" spans="1:16" s="82" customFormat="1" x14ac:dyDescent="0.25">
      <c r="A123" s="167" t="s">
        <v>189</v>
      </c>
      <c r="B123" s="168"/>
      <c r="C123" s="121"/>
      <c r="D123" s="121"/>
      <c r="E123" s="121"/>
      <c r="F123" s="121"/>
      <c r="G123" s="121"/>
      <c r="H123" s="121"/>
      <c r="I123" s="122"/>
      <c r="J123" s="122"/>
      <c r="K123" s="122"/>
      <c r="L123" s="122"/>
      <c r="M123" s="94"/>
      <c r="N123" s="27"/>
      <c r="O123" s="27"/>
      <c r="P123" s="26"/>
    </row>
    <row r="124" spans="1:16" x14ac:dyDescent="0.25">
      <c r="A124" s="22" t="s">
        <v>69</v>
      </c>
      <c r="B124" s="22" t="s">
        <v>138</v>
      </c>
      <c r="C124" s="22" t="s">
        <v>139</v>
      </c>
      <c r="D124" s="160" t="s">
        <v>72</v>
      </c>
      <c r="E124" s="161"/>
      <c r="F124" s="162"/>
      <c r="G124" s="25"/>
      <c r="H124" s="96" t="s">
        <v>20</v>
      </c>
      <c r="I124" s="99"/>
      <c r="J124" s="99"/>
      <c r="K124" s="99"/>
      <c r="L124" s="100">
        <f t="shared" si="11"/>
        <v>4628</v>
      </c>
      <c r="M124" s="81"/>
      <c r="N124" s="44">
        <v>4407</v>
      </c>
      <c r="O124" s="44" t="s">
        <v>226</v>
      </c>
      <c r="P124" s="26">
        <f>N124*1.05</f>
        <v>4627.3500000000004</v>
      </c>
    </row>
    <row r="125" spans="1:16" x14ac:dyDescent="0.25">
      <c r="A125" s="22" t="s">
        <v>69</v>
      </c>
      <c r="B125" s="22" t="s">
        <v>140</v>
      </c>
      <c r="C125" s="22" t="s">
        <v>141</v>
      </c>
      <c r="D125" s="160" t="s">
        <v>72</v>
      </c>
      <c r="E125" s="161"/>
      <c r="F125" s="162"/>
      <c r="G125" s="25"/>
      <c r="H125" s="96" t="s">
        <v>20</v>
      </c>
      <c r="I125" s="99"/>
      <c r="J125" s="99"/>
      <c r="K125" s="99"/>
      <c r="L125" s="100">
        <f t="shared" si="11"/>
        <v>2512</v>
      </c>
      <c r="M125" s="81"/>
      <c r="N125" s="44">
        <v>2392</v>
      </c>
      <c r="O125" s="85">
        <f>((902+1064)*6*72+(967+1071)*8*48+(822+1071)*8*24+(917+1071)*8*24)/1000</f>
        <v>2377.056</v>
      </c>
      <c r="P125" s="26">
        <f t="shared" ref="P125:P128" si="14">N125*1.05</f>
        <v>2511.6</v>
      </c>
    </row>
    <row r="126" spans="1:16" x14ac:dyDescent="0.25">
      <c r="A126" s="22" t="s">
        <v>69</v>
      </c>
      <c r="B126" s="22" t="s">
        <v>142</v>
      </c>
      <c r="C126" s="22" t="s">
        <v>141</v>
      </c>
      <c r="D126" s="160" t="s">
        <v>72</v>
      </c>
      <c r="E126" s="161"/>
      <c r="F126" s="162"/>
      <c r="G126" s="25"/>
      <c r="H126" s="96" t="s">
        <v>20</v>
      </c>
      <c r="I126" s="99"/>
      <c r="J126" s="99"/>
      <c r="K126" s="99"/>
      <c r="L126" s="100">
        <f t="shared" si="11"/>
        <v>3675</v>
      </c>
      <c r="M126" s="81"/>
      <c r="N126" s="44">
        <v>3500</v>
      </c>
      <c r="O126" s="44">
        <f>G23+G31+G24</f>
        <v>3486</v>
      </c>
      <c r="P126" s="26">
        <f t="shared" si="14"/>
        <v>3675</v>
      </c>
    </row>
    <row r="127" spans="1:16" x14ac:dyDescent="0.25">
      <c r="A127" s="22" t="s">
        <v>69</v>
      </c>
      <c r="B127" s="22" t="s">
        <v>143</v>
      </c>
      <c r="C127" s="22" t="s">
        <v>141</v>
      </c>
      <c r="D127" s="160" t="s">
        <v>72</v>
      </c>
      <c r="E127" s="161"/>
      <c r="F127" s="162"/>
      <c r="G127" s="25"/>
      <c r="H127" s="96" t="s">
        <v>20</v>
      </c>
      <c r="I127" s="99"/>
      <c r="J127" s="99"/>
      <c r="K127" s="99"/>
      <c r="L127" s="100">
        <f t="shared" si="11"/>
        <v>1785</v>
      </c>
      <c r="M127" s="81"/>
      <c r="N127" s="44">
        <v>1700</v>
      </c>
      <c r="O127" s="44">
        <f>G27+G29</f>
        <v>1734</v>
      </c>
      <c r="P127" s="26">
        <f t="shared" si="14"/>
        <v>1785</v>
      </c>
    </row>
    <row r="128" spans="1:16" ht="14.25" customHeight="1" x14ac:dyDescent="0.25">
      <c r="A128" s="22" t="s">
        <v>69</v>
      </c>
      <c r="B128" s="22" t="s">
        <v>144</v>
      </c>
      <c r="C128" s="22" t="s">
        <v>141</v>
      </c>
      <c r="D128" s="160" t="s">
        <v>72</v>
      </c>
      <c r="E128" s="161"/>
      <c r="F128" s="162"/>
      <c r="G128" s="25"/>
      <c r="H128" s="96" t="s">
        <v>20</v>
      </c>
      <c r="I128" s="99"/>
      <c r="J128" s="99"/>
      <c r="K128" s="99"/>
      <c r="L128" s="100">
        <f t="shared" si="11"/>
        <v>5250</v>
      </c>
      <c r="M128" s="81"/>
      <c r="N128" s="44">
        <v>5000</v>
      </c>
      <c r="O128" s="44">
        <f>O127+O126</f>
        <v>5220</v>
      </c>
      <c r="P128" s="26">
        <f t="shared" si="14"/>
        <v>5250</v>
      </c>
    </row>
    <row r="129" spans="1:18" s="18" customFormat="1" x14ac:dyDescent="0.25">
      <c r="A129" s="119"/>
      <c r="B129" s="120"/>
      <c r="C129" s="120"/>
      <c r="D129" s="120"/>
      <c r="E129" s="120"/>
      <c r="F129" s="120"/>
      <c r="G129" s="120"/>
      <c r="H129" s="120"/>
      <c r="I129" s="104"/>
      <c r="J129" s="104"/>
      <c r="K129" s="104"/>
      <c r="L129" s="155"/>
      <c r="M129" s="31"/>
      <c r="N129" s="27"/>
      <c r="O129" s="27"/>
      <c r="P129" s="26"/>
    </row>
    <row r="130" spans="1:18" s="18" customFormat="1" hidden="1" x14ac:dyDescent="0.25">
      <c r="A130" s="167" t="s">
        <v>145</v>
      </c>
      <c r="B130" s="168"/>
      <c r="C130" s="121"/>
      <c r="D130" s="121"/>
      <c r="E130" s="121"/>
      <c r="F130" s="121"/>
      <c r="G130" s="121"/>
      <c r="H130" s="121"/>
      <c r="I130" s="122"/>
      <c r="J130" s="122"/>
      <c r="K130" s="122"/>
      <c r="L130" s="154"/>
      <c r="M130" s="94"/>
      <c r="N130" s="27"/>
      <c r="O130" s="27"/>
      <c r="P130" s="26"/>
    </row>
    <row r="131" spans="1:18" hidden="1" x14ac:dyDescent="0.25">
      <c r="A131" s="22" t="s">
        <v>109</v>
      </c>
      <c r="B131" s="22" t="s">
        <v>146</v>
      </c>
      <c r="C131" s="22" t="s">
        <v>147</v>
      </c>
      <c r="D131" s="160" t="s">
        <v>148</v>
      </c>
      <c r="E131" s="161"/>
      <c r="F131" s="162"/>
      <c r="G131" s="25"/>
      <c r="H131" s="96" t="s">
        <v>149</v>
      </c>
      <c r="I131" s="99"/>
      <c r="J131" s="99"/>
      <c r="K131" s="99"/>
      <c r="L131" s="110">
        <f>O131</f>
        <v>468.05952000000002</v>
      </c>
      <c r="M131" s="81"/>
      <c r="N131" s="44"/>
      <c r="O131" s="85">
        <f>(944*630*3*72+1010*641*4*48+865*641*4*24+1052*641*24+960*641*4*24+944*192*2*72+1010*204*3*48+865*204*4*24+960*204*3*24)/1000000</f>
        <v>468.05952000000002</v>
      </c>
    </row>
    <row r="132" spans="1:18" hidden="1" x14ac:dyDescent="0.25">
      <c r="A132" s="22" t="s">
        <v>109</v>
      </c>
      <c r="B132" s="22" t="s">
        <v>150</v>
      </c>
      <c r="C132" s="22" t="s">
        <v>151</v>
      </c>
      <c r="D132" s="160" t="s">
        <v>152</v>
      </c>
      <c r="E132" s="161"/>
      <c r="F132" s="162"/>
      <c r="G132" s="25"/>
      <c r="H132" s="96" t="s">
        <v>149</v>
      </c>
      <c r="I132" s="99"/>
      <c r="J132" s="99"/>
      <c r="K132" s="99"/>
      <c r="L132" s="110">
        <f t="shared" ref="L132:L134" si="15">O132</f>
        <v>607.52592000000004</v>
      </c>
      <c r="M132" s="81"/>
      <c r="N132" s="44"/>
      <c r="O132" s="85">
        <f>(1064*902*3*72+967*1071*4*48+1089*864*24+822*1071*4*24+917*1071*4*24)/1000000</f>
        <v>607.52592000000004</v>
      </c>
    </row>
    <row r="133" spans="1:18" hidden="1" x14ac:dyDescent="0.25">
      <c r="A133" s="22" t="s">
        <v>109</v>
      </c>
      <c r="B133" s="22" t="s">
        <v>200</v>
      </c>
      <c r="C133" s="22" t="s">
        <v>177</v>
      </c>
      <c r="D133" s="160"/>
      <c r="E133" s="161"/>
      <c r="F133" s="162"/>
      <c r="G133" s="25"/>
      <c r="H133" s="96" t="s">
        <v>149</v>
      </c>
      <c r="I133" s="99"/>
      <c r="J133" s="99"/>
      <c r="K133" s="99"/>
      <c r="L133" s="110">
        <f t="shared" si="15"/>
        <v>26.846256</v>
      </c>
      <c r="M133" s="81"/>
      <c r="N133" s="44"/>
      <c r="O133" s="85">
        <f>(970*182*48+825*182*24+920*182*24+916*163*72)/1000000</f>
        <v>26.846256</v>
      </c>
    </row>
    <row r="134" spans="1:18" hidden="1" x14ac:dyDescent="0.25">
      <c r="A134" s="22" t="s">
        <v>109</v>
      </c>
      <c r="B134" s="22" t="s">
        <v>153</v>
      </c>
      <c r="C134" s="22" t="s">
        <v>153</v>
      </c>
      <c r="D134" s="160" t="s">
        <v>152</v>
      </c>
      <c r="E134" s="161"/>
      <c r="F134" s="162"/>
      <c r="G134" s="25"/>
      <c r="H134" s="96" t="s">
        <v>149</v>
      </c>
      <c r="I134" s="99"/>
      <c r="J134" s="99"/>
      <c r="K134" s="99"/>
      <c r="L134" s="110">
        <f t="shared" si="15"/>
        <v>260.79475200000002</v>
      </c>
      <c r="M134" s="81"/>
      <c r="N134" s="44"/>
      <c r="O134" s="85">
        <f>(944*429*3*72+1010*440*4*48+865*440*4*24+1052*432*24+960*440*4*24)/1000000</f>
        <v>260.79475200000002</v>
      </c>
      <c r="P134" s="109"/>
    </row>
    <row r="135" spans="1:18" s="18" customFormat="1" x14ac:dyDescent="0.25">
      <c r="A135" s="1"/>
      <c r="K135" s="82"/>
      <c r="L135" s="109"/>
      <c r="N135" s="26"/>
      <c r="O135" s="27"/>
      <c r="P135" s="26"/>
      <c r="R135" s="18">
        <f>40*50/1000000</f>
        <v>2E-3</v>
      </c>
    </row>
    <row r="136" spans="1:18" s="18" customFormat="1" ht="23.25" customHeight="1" x14ac:dyDescent="0.35">
      <c r="A136" s="173" t="s">
        <v>154</v>
      </c>
      <c r="B136" s="173"/>
      <c r="K136" s="82"/>
      <c r="L136" s="109"/>
      <c r="N136" s="26"/>
      <c r="O136" s="27"/>
      <c r="P136" s="26"/>
    </row>
    <row r="137" spans="1:18" s="18" customFormat="1" x14ac:dyDescent="0.25">
      <c r="A137" s="1"/>
      <c r="K137" s="82"/>
      <c r="L137" s="109"/>
      <c r="N137" s="26"/>
      <c r="O137" s="27"/>
      <c r="P137" s="26"/>
    </row>
    <row r="138" spans="1:18" x14ac:dyDescent="0.25">
      <c r="A138" s="163" t="s">
        <v>155</v>
      </c>
      <c r="B138" s="163" t="s">
        <v>156</v>
      </c>
      <c r="C138" s="163" t="s">
        <v>157</v>
      </c>
      <c r="D138" s="163" t="s">
        <v>4</v>
      </c>
      <c r="E138" s="165" t="s">
        <v>158</v>
      </c>
      <c r="F138" s="166"/>
      <c r="G138" s="163" t="s">
        <v>159</v>
      </c>
      <c r="H138" s="163" t="s">
        <v>12</v>
      </c>
      <c r="I138" s="163" t="s">
        <v>160</v>
      </c>
      <c r="N138" s="26"/>
      <c r="O138" s="27"/>
    </row>
    <row r="139" spans="1:18" x14ac:dyDescent="0.25">
      <c r="A139" s="164"/>
      <c r="B139" s="164"/>
      <c r="C139" s="164"/>
      <c r="D139" s="164"/>
      <c r="E139" s="14" t="s">
        <v>161</v>
      </c>
      <c r="F139" s="14" t="s">
        <v>162</v>
      </c>
      <c r="G139" s="164"/>
      <c r="H139" s="164"/>
      <c r="I139" s="164"/>
      <c r="J139" t="s">
        <v>240</v>
      </c>
      <c r="N139" s="26" t="s">
        <v>243</v>
      </c>
      <c r="O139" s="27" t="s">
        <v>244</v>
      </c>
      <c r="P139" s="26" t="s">
        <v>250</v>
      </c>
    </row>
    <row r="140" spans="1:18" x14ac:dyDescent="0.25">
      <c r="A140" s="15" t="s">
        <v>163</v>
      </c>
      <c r="B140" s="16" t="s">
        <v>164</v>
      </c>
      <c r="C140" s="17" t="s">
        <v>165</v>
      </c>
      <c r="D140" s="17" t="s">
        <v>233</v>
      </c>
      <c r="E140" s="17">
        <v>4300</v>
      </c>
      <c r="F140" s="17">
        <v>2790</v>
      </c>
      <c r="G140" s="17">
        <v>12</v>
      </c>
      <c r="H140" s="17">
        <v>48</v>
      </c>
      <c r="I140" s="17">
        <v>575.86</v>
      </c>
      <c r="J140">
        <f>E140*H140/1000</f>
        <v>206.4</v>
      </c>
      <c r="K140" s="82">
        <f t="shared" ref="K140:K145" si="16">J140</f>
        <v>206.4</v>
      </c>
      <c r="L140" s="109">
        <f>F140*H140*2/1000</f>
        <v>267.83999999999997</v>
      </c>
      <c r="N140" s="26">
        <f>F140*H140/1000</f>
        <v>133.91999999999999</v>
      </c>
      <c r="O140" s="27">
        <f>(E140*2+F140*2)*H140/1000</f>
        <v>680.64</v>
      </c>
      <c r="P140" s="26">
        <f>((125+110+200)/1000)*K145+((120+50+110)/1000)*J145+((60+60)/1000)*L145+(210/1000)*N140+(100/1000*N140)</f>
        <v>613.55280000000016</v>
      </c>
    </row>
    <row r="141" spans="1:18" x14ac:dyDescent="0.25">
      <c r="A141" s="15" t="s">
        <v>166</v>
      </c>
      <c r="B141" s="16" t="s">
        <v>167</v>
      </c>
      <c r="C141" s="17" t="s">
        <v>165</v>
      </c>
      <c r="D141" s="17" t="s">
        <v>233</v>
      </c>
      <c r="E141" s="17">
        <f>1180+3750</f>
        <v>4930</v>
      </c>
      <c r="F141" s="17">
        <v>2790</v>
      </c>
      <c r="G141" s="17">
        <v>13.53</v>
      </c>
      <c r="H141" s="17">
        <v>12</v>
      </c>
      <c r="I141" s="17">
        <v>162.38</v>
      </c>
      <c r="J141" s="82">
        <f t="shared" ref="J141:J144" si="17">E141*H141/1000</f>
        <v>59.16</v>
      </c>
      <c r="K141" s="82">
        <f t="shared" si="16"/>
        <v>59.16</v>
      </c>
      <c r="L141" s="109">
        <f>F141*H141*2/1000</f>
        <v>66.959999999999994</v>
      </c>
      <c r="N141" s="26"/>
      <c r="O141" s="27">
        <f>(E141*2+F141*2)*H141/1000</f>
        <v>185.28</v>
      </c>
    </row>
    <row r="142" spans="1:18" x14ac:dyDescent="0.25">
      <c r="A142" s="15" t="s">
        <v>168</v>
      </c>
      <c r="B142" s="16" t="s">
        <v>169</v>
      </c>
      <c r="C142" s="17" t="s">
        <v>165</v>
      </c>
      <c r="D142" s="17" t="s">
        <v>233</v>
      </c>
      <c r="E142" s="17">
        <v>4930</v>
      </c>
      <c r="F142" s="17">
        <v>2790</v>
      </c>
      <c r="G142" s="17">
        <v>13.53</v>
      </c>
      <c r="H142" s="17">
        <v>12</v>
      </c>
      <c r="I142" s="17">
        <v>162.38</v>
      </c>
      <c r="J142" s="82">
        <f t="shared" si="17"/>
        <v>59.16</v>
      </c>
      <c r="K142" s="82">
        <f t="shared" si="16"/>
        <v>59.16</v>
      </c>
      <c r="L142" s="109">
        <f>F142*H142*2/1000</f>
        <v>66.959999999999994</v>
      </c>
      <c r="N142" s="26"/>
      <c r="O142" s="27">
        <f>(E142*2+F142*2)*H142/1000</f>
        <v>185.28</v>
      </c>
    </row>
    <row r="143" spans="1:18" x14ac:dyDescent="0.25">
      <c r="A143" s="15" t="s">
        <v>170</v>
      </c>
      <c r="B143" s="16" t="s">
        <v>171</v>
      </c>
      <c r="C143" s="17" t="s">
        <v>165</v>
      </c>
      <c r="D143" s="17" t="s">
        <v>233</v>
      </c>
      <c r="E143" s="17">
        <v>4100</v>
      </c>
      <c r="F143" s="17">
        <v>2790</v>
      </c>
      <c r="G143" s="17">
        <v>11.44</v>
      </c>
      <c r="H143" s="17">
        <v>24</v>
      </c>
      <c r="I143" s="17">
        <v>274.54000000000002</v>
      </c>
      <c r="J143" s="82">
        <f t="shared" si="17"/>
        <v>98.4</v>
      </c>
      <c r="K143" s="82">
        <f t="shared" si="16"/>
        <v>98.4</v>
      </c>
      <c r="L143" s="109">
        <f>F143*H143*2/1000</f>
        <v>133.91999999999999</v>
      </c>
      <c r="N143" s="26"/>
      <c r="O143" s="27">
        <f>(E143*2+F143*2)*H143/1000</f>
        <v>330.72</v>
      </c>
    </row>
    <row r="144" spans="1:18" x14ac:dyDescent="0.25">
      <c r="A144" s="15" t="s">
        <v>172</v>
      </c>
      <c r="B144" s="16" t="s">
        <v>173</v>
      </c>
      <c r="C144" s="17" t="s">
        <v>174</v>
      </c>
      <c r="D144" s="17" t="s">
        <v>233</v>
      </c>
      <c r="E144" s="17">
        <v>3050</v>
      </c>
      <c r="F144" s="17">
        <v>2790</v>
      </c>
      <c r="G144" s="17">
        <v>8.5</v>
      </c>
      <c r="H144" s="17">
        <v>72</v>
      </c>
      <c r="I144" s="17">
        <v>612.28</v>
      </c>
      <c r="J144" s="82">
        <f t="shared" si="17"/>
        <v>219.6</v>
      </c>
      <c r="K144" s="82">
        <f t="shared" si="16"/>
        <v>219.6</v>
      </c>
      <c r="L144" s="109">
        <f>F144*H144*2/1000</f>
        <v>401.76</v>
      </c>
      <c r="N144" s="26"/>
      <c r="O144" s="27">
        <f>(E144*2+F144*2)*H144/1000</f>
        <v>840.96</v>
      </c>
    </row>
    <row r="145" spans="1:16" x14ac:dyDescent="0.25">
      <c r="J145">
        <f>SUM(J140:J144)</f>
        <v>642.72</v>
      </c>
      <c r="K145" s="82">
        <f t="shared" si="16"/>
        <v>642.72</v>
      </c>
      <c r="L145" s="109">
        <f>SUM(L140:L144)</f>
        <v>937.43999999999994</v>
      </c>
      <c r="N145" s="26"/>
      <c r="O145" s="27">
        <f>SUM(O140:O144)</f>
        <v>2222.88</v>
      </c>
    </row>
    <row r="146" spans="1:16" s="82" customFormat="1" x14ac:dyDescent="0.25">
      <c r="A146" s="167" t="s">
        <v>145</v>
      </c>
      <c r="B146" s="168"/>
      <c r="C146" s="121"/>
      <c r="D146" s="121"/>
      <c r="E146" s="121"/>
      <c r="F146" s="121"/>
      <c r="G146" s="121"/>
      <c r="H146" s="121"/>
      <c r="I146" s="122"/>
      <c r="J146" s="122"/>
      <c r="K146" s="122"/>
      <c r="L146" s="154"/>
      <c r="M146" s="94"/>
      <c r="N146" s="27"/>
      <c r="O146" s="27"/>
      <c r="P146" s="26"/>
    </row>
    <row r="147" spans="1:16" s="82" customFormat="1" x14ac:dyDescent="0.25">
      <c r="A147" s="22" t="s">
        <v>109</v>
      </c>
      <c r="B147" s="22" t="s">
        <v>146</v>
      </c>
      <c r="C147" s="22" t="s">
        <v>147</v>
      </c>
      <c r="D147" s="160" t="s">
        <v>148</v>
      </c>
      <c r="E147" s="161"/>
      <c r="F147" s="162"/>
      <c r="G147" s="25"/>
      <c r="H147" s="96" t="s">
        <v>149</v>
      </c>
      <c r="I147" s="99"/>
      <c r="J147" s="99"/>
      <c r="K147" s="99"/>
      <c r="L147" s="110">
        <f>O147</f>
        <v>468.05952000000002</v>
      </c>
      <c r="M147" s="81"/>
      <c r="N147" s="44"/>
      <c r="O147" s="85">
        <f>(944*630*3*72+1010*641*4*48+865*641*4*24+1052*641*24+960*641*4*24+944*192*2*72+1010*204*3*48+865*204*4*24+960*204*3*24)/1000000</f>
        <v>468.05952000000002</v>
      </c>
      <c r="P147" s="26"/>
    </row>
    <row r="148" spans="1:16" s="82" customFormat="1" x14ac:dyDescent="0.25">
      <c r="A148" s="22" t="s">
        <v>109</v>
      </c>
      <c r="B148" s="22" t="s">
        <v>150</v>
      </c>
      <c r="C148" s="22" t="s">
        <v>151</v>
      </c>
      <c r="D148" s="160" t="s">
        <v>152</v>
      </c>
      <c r="E148" s="161"/>
      <c r="F148" s="162"/>
      <c r="G148" s="25"/>
      <c r="H148" s="96" t="s">
        <v>149</v>
      </c>
      <c r="I148" s="99"/>
      <c r="J148" s="99"/>
      <c r="K148" s="99"/>
      <c r="L148" s="110">
        <f t="shared" ref="L148:L150" si="18">O148</f>
        <v>607.52592000000004</v>
      </c>
      <c r="M148" s="81"/>
      <c r="N148" s="44"/>
      <c r="O148" s="85">
        <f>(1064*902*3*72+967*1071*4*48+1089*864*24+822*1071*4*24+917*1071*4*24)/1000000</f>
        <v>607.52592000000004</v>
      </c>
      <c r="P148" s="26"/>
    </row>
    <row r="149" spans="1:16" s="82" customFormat="1" x14ac:dyDescent="0.25">
      <c r="A149" s="22" t="s">
        <v>109</v>
      </c>
      <c r="B149" s="22" t="s">
        <v>200</v>
      </c>
      <c r="C149" s="22" t="s">
        <v>177</v>
      </c>
      <c r="D149" s="160"/>
      <c r="E149" s="161"/>
      <c r="F149" s="162"/>
      <c r="G149" s="25"/>
      <c r="H149" s="96" t="s">
        <v>149</v>
      </c>
      <c r="I149" s="99"/>
      <c r="J149" s="99"/>
      <c r="K149" s="99"/>
      <c r="L149" s="110">
        <f t="shared" si="18"/>
        <v>26.846256</v>
      </c>
      <c r="M149" s="81"/>
      <c r="N149" s="44"/>
      <c r="O149" s="85">
        <f>(970*182*48+825*182*24+920*182*24+916*163*72)/1000000</f>
        <v>26.846256</v>
      </c>
      <c r="P149" s="26"/>
    </row>
    <row r="150" spans="1:16" s="82" customFormat="1" x14ac:dyDescent="0.25">
      <c r="A150" s="22" t="s">
        <v>109</v>
      </c>
      <c r="B150" s="22" t="s">
        <v>153</v>
      </c>
      <c r="C150" s="22" t="s">
        <v>153</v>
      </c>
      <c r="D150" s="160" t="s">
        <v>152</v>
      </c>
      <c r="E150" s="161"/>
      <c r="F150" s="162"/>
      <c r="G150" s="25"/>
      <c r="H150" s="96" t="s">
        <v>149</v>
      </c>
      <c r="I150" s="99"/>
      <c r="J150" s="99"/>
      <c r="K150" s="99"/>
      <c r="L150" s="110">
        <f t="shared" si="18"/>
        <v>260.79475200000002</v>
      </c>
      <c r="M150" s="81"/>
      <c r="N150" s="44"/>
      <c r="O150" s="85">
        <f>(944*429*3*72+1010*440*4*48+865*440*4*24+1052*432*24+960*440*4*24)/1000000</f>
        <v>260.79475200000002</v>
      </c>
      <c r="P150" s="109"/>
    </row>
    <row r="151" spans="1:16" x14ac:dyDescent="0.25">
      <c r="N151" s="26"/>
      <c r="O151" s="27"/>
    </row>
    <row r="152" spans="1:16" x14ac:dyDescent="0.25">
      <c r="A152" s="136" t="s">
        <v>261</v>
      </c>
      <c r="B152" s="136" t="s">
        <v>262</v>
      </c>
      <c r="C152" s="136" t="s">
        <v>263</v>
      </c>
      <c r="D152" s="136"/>
      <c r="E152" s="136"/>
      <c r="F152" s="137">
        <v>45723</v>
      </c>
      <c r="G152" s="137"/>
      <c r="N152" s="26"/>
      <c r="O152" s="27"/>
    </row>
    <row r="153" spans="1:16" x14ac:dyDescent="0.25">
      <c r="N153" s="26"/>
      <c r="O153" s="27"/>
    </row>
    <row r="154" spans="1:16" x14ac:dyDescent="0.25">
      <c r="N154" s="26"/>
      <c r="O154" s="27"/>
    </row>
    <row r="155" spans="1:16" x14ac:dyDescent="0.25">
      <c r="N155" s="26"/>
      <c r="O155" s="27"/>
    </row>
    <row r="156" spans="1:16" x14ac:dyDescent="0.25">
      <c r="N156" s="26"/>
      <c r="O156" s="27"/>
    </row>
    <row r="157" spans="1:16" x14ac:dyDescent="0.25">
      <c r="N157" s="26"/>
      <c r="O157" s="27"/>
    </row>
    <row r="158" spans="1:16" x14ac:dyDescent="0.25">
      <c r="N158" s="26"/>
      <c r="O158" s="27"/>
    </row>
    <row r="159" spans="1:16" x14ac:dyDescent="0.25">
      <c r="N159" s="26"/>
      <c r="O159" s="27"/>
    </row>
    <row r="160" spans="1:16" x14ac:dyDescent="0.25">
      <c r="N160" s="26"/>
      <c r="O160" s="27"/>
    </row>
    <row r="161" spans="14:15" x14ac:dyDescent="0.25">
      <c r="N161" s="26"/>
      <c r="O161" s="27"/>
    </row>
    <row r="162" spans="14:15" x14ac:dyDescent="0.25">
      <c r="N162" s="26"/>
      <c r="O162" s="27"/>
    </row>
    <row r="163" spans="14:15" x14ac:dyDescent="0.25">
      <c r="N163" s="26"/>
      <c r="O163" s="27"/>
    </row>
    <row r="164" spans="14:15" x14ac:dyDescent="0.25">
      <c r="N164" s="26"/>
      <c r="O164" s="27"/>
    </row>
    <row r="165" spans="14:15" x14ac:dyDescent="0.25">
      <c r="N165" s="26"/>
      <c r="O165" s="27"/>
    </row>
    <row r="166" spans="14:15" x14ac:dyDescent="0.25">
      <c r="N166" s="26"/>
      <c r="O166" s="27"/>
    </row>
    <row r="167" spans="14:15" x14ac:dyDescent="0.25">
      <c r="N167" s="26"/>
      <c r="O167" s="27"/>
    </row>
    <row r="168" spans="14:15" x14ac:dyDescent="0.25">
      <c r="N168" s="26"/>
      <c r="O168" s="27"/>
    </row>
    <row r="169" spans="14:15" x14ac:dyDescent="0.25">
      <c r="N169" s="26"/>
      <c r="O169" s="27"/>
    </row>
    <row r="170" spans="14:15" x14ac:dyDescent="0.25">
      <c r="N170" s="26"/>
      <c r="O170" s="27"/>
    </row>
    <row r="171" spans="14:15" x14ac:dyDescent="0.25">
      <c r="N171" s="26"/>
      <c r="O171" s="27"/>
    </row>
    <row r="172" spans="14:15" x14ac:dyDescent="0.25">
      <c r="N172" s="26"/>
      <c r="O172" s="27"/>
    </row>
    <row r="173" spans="14:15" x14ac:dyDescent="0.25">
      <c r="N173" s="26"/>
      <c r="O173" s="27"/>
    </row>
    <row r="174" spans="14:15" x14ac:dyDescent="0.25">
      <c r="N174" s="26"/>
      <c r="O174" s="27"/>
    </row>
    <row r="175" spans="14:15" x14ac:dyDescent="0.25">
      <c r="N175" s="26"/>
      <c r="O175" s="27"/>
    </row>
    <row r="176" spans="14:15" x14ac:dyDescent="0.25">
      <c r="N176" s="26"/>
      <c r="O176" s="27"/>
    </row>
    <row r="177" spans="14:15" x14ac:dyDescent="0.25">
      <c r="N177" s="26"/>
      <c r="O177" s="27"/>
    </row>
    <row r="178" spans="14:15" x14ac:dyDescent="0.25">
      <c r="N178" s="26"/>
      <c r="O178" s="27"/>
    </row>
    <row r="179" spans="14:15" x14ac:dyDescent="0.25">
      <c r="N179" s="26"/>
      <c r="O179" s="27"/>
    </row>
    <row r="180" spans="14:15" x14ac:dyDescent="0.25">
      <c r="N180" s="26"/>
      <c r="O180" s="27"/>
    </row>
    <row r="181" spans="14:15" x14ac:dyDescent="0.25">
      <c r="N181" s="26"/>
      <c r="O181" s="27"/>
    </row>
    <row r="182" spans="14:15" x14ac:dyDescent="0.25">
      <c r="N182" s="26"/>
      <c r="O182" s="27"/>
    </row>
  </sheetData>
  <mergeCells count="97">
    <mergeCell ref="A146:B146"/>
    <mergeCell ref="D147:F147"/>
    <mergeCell ref="D148:F148"/>
    <mergeCell ref="D149:F149"/>
    <mergeCell ref="D150:F150"/>
    <mergeCell ref="I138:I139"/>
    <mergeCell ref="A6:L6"/>
    <mergeCell ref="B7:L7"/>
    <mergeCell ref="B8:L8"/>
    <mergeCell ref="B9:L9"/>
    <mergeCell ref="B10:L10"/>
    <mergeCell ref="E113:F113"/>
    <mergeCell ref="E114:F114"/>
    <mergeCell ref="D14:D15"/>
    <mergeCell ref="A12:A15"/>
    <mergeCell ref="B12:B15"/>
    <mergeCell ref="C12:C15"/>
    <mergeCell ref="D71:F71"/>
    <mergeCell ref="D66:F66"/>
    <mergeCell ref="E78:F78"/>
    <mergeCell ref="E79:F79"/>
    <mergeCell ref="E4:F4"/>
    <mergeCell ref="K12:M13"/>
    <mergeCell ref="L14:L15"/>
    <mergeCell ref="E94:F94"/>
    <mergeCell ref="E112:F112"/>
    <mergeCell ref="I12:J13"/>
    <mergeCell ref="E14:E15"/>
    <mergeCell ref="F14:F15"/>
    <mergeCell ref="G14:G15"/>
    <mergeCell ref="H14:H15"/>
    <mergeCell ref="J14:J15"/>
    <mergeCell ref="D12:F13"/>
    <mergeCell ref="G12:H13"/>
    <mergeCell ref="D63:F63"/>
    <mergeCell ref="D64:F64"/>
    <mergeCell ref="D65:F65"/>
    <mergeCell ref="E80:F80"/>
    <mergeCell ref="E77:F77"/>
    <mergeCell ref="E74:F74"/>
    <mergeCell ref="E75:F75"/>
    <mergeCell ref="E76:F76"/>
    <mergeCell ref="E85:F85"/>
    <mergeCell ref="E88:F88"/>
    <mergeCell ref="E89:F89"/>
    <mergeCell ref="E83:F83"/>
    <mergeCell ref="E84:F84"/>
    <mergeCell ref="E93:F93"/>
    <mergeCell ref="E97:F97"/>
    <mergeCell ref="E90:F90"/>
    <mergeCell ref="E91:F91"/>
    <mergeCell ref="E92:F92"/>
    <mergeCell ref="H138:H139"/>
    <mergeCell ref="E107:F107"/>
    <mergeCell ref="E108:F108"/>
    <mergeCell ref="E104:F104"/>
    <mergeCell ref="E105:F105"/>
    <mergeCell ref="E106:F106"/>
    <mergeCell ref="E110:F110"/>
    <mergeCell ref="E115:F115"/>
    <mergeCell ref="E116:F116"/>
    <mergeCell ref="E117:F117"/>
    <mergeCell ref="E119:F119"/>
    <mergeCell ref="E121:F121"/>
    <mergeCell ref="D126:F126"/>
    <mergeCell ref="D127:F127"/>
    <mergeCell ref="E109:F109"/>
    <mergeCell ref="D124:F124"/>
    <mergeCell ref="E101:F101"/>
    <mergeCell ref="E102:F102"/>
    <mergeCell ref="E103:F103"/>
    <mergeCell ref="E98:F98"/>
    <mergeCell ref="E99:F99"/>
    <mergeCell ref="E100:F100"/>
    <mergeCell ref="A59:B59"/>
    <mergeCell ref="A48:B48"/>
    <mergeCell ref="A17:B17"/>
    <mergeCell ref="A136:B136"/>
    <mergeCell ref="A123:B123"/>
    <mergeCell ref="A130:B130"/>
    <mergeCell ref="A96:B96"/>
    <mergeCell ref="A82:B82"/>
    <mergeCell ref="A73:B73"/>
    <mergeCell ref="A68:B68"/>
    <mergeCell ref="A62:B62"/>
    <mergeCell ref="A138:A139"/>
    <mergeCell ref="B138:B139"/>
    <mergeCell ref="C138:C139"/>
    <mergeCell ref="D138:D139"/>
    <mergeCell ref="E138:F138"/>
    <mergeCell ref="D125:F125"/>
    <mergeCell ref="G138:G139"/>
    <mergeCell ref="D132:F132"/>
    <mergeCell ref="D133:F133"/>
    <mergeCell ref="D134:F134"/>
    <mergeCell ref="D128:F128"/>
    <mergeCell ref="D131:F131"/>
  </mergeCells>
  <phoneticPr fontId="26" type="noConversion"/>
  <pageMargins left="0.75" right="0.75" top="1" bottom="1" header="0.5" footer="0.5"/>
  <pageSetup paperSize="8" scale="55" orientation="portrait" r:id="rId1"/>
  <ignoredErrors>
    <ignoredError sqref="L70 O9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776A-3728-40AA-9120-FB717D7FB49A}">
  <sheetPr>
    <pageSetUpPr fitToPage="1"/>
  </sheetPr>
  <dimension ref="A1:Z166"/>
  <sheetViews>
    <sheetView showGridLines="0" topLeftCell="A85" zoomScale="110" zoomScaleNormal="110" workbookViewId="0">
      <selection activeCell="U104" sqref="U104"/>
    </sheetView>
  </sheetViews>
  <sheetFormatPr defaultRowHeight="15" x14ac:dyDescent="0.25"/>
  <cols>
    <col min="1" max="1" width="11.5703125" style="82" bestFit="1" customWidth="1"/>
    <col min="2" max="2" width="24" style="82" customWidth="1"/>
    <col min="3" max="3" width="36.5703125" style="82" bestFit="1" customWidth="1"/>
    <col min="4" max="4" width="18.28515625" style="82" customWidth="1"/>
    <col min="5" max="6" width="10.28515625" style="82" customWidth="1"/>
    <col min="7" max="7" width="7.85546875" style="82" customWidth="1"/>
    <col min="8" max="8" width="6.42578125" style="82" customWidth="1"/>
    <col min="9" max="9" width="9.7109375" style="82" hidden="1" customWidth="1"/>
    <col min="10" max="10" width="6.140625" style="82" hidden="1" customWidth="1"/>
    <col min="11" max="11" width="8" style="82" customWidth="1"/>
    <col min="12" max="12" width="10.42578125" style="87" customWidth="1"/>
    <col min="13" max="14" width="9.28515625" style="82" hidden="1" customWidth="1"/>
    <col min="15" max="17" width="9.140625" style="82" hidden="1" customWidth="1"/>
    <col min="18" max="18" width="0.85546875" style="82" hidden="1" customWidth="1"/>
    <col min="19" max="19" width="0.140625" style="82" customWidth="1"/>
    <col min="20" max="20" width="12.28515625" style="28" customWidth="1"/>
    <col min="21" max="21" width="21.140625" style="84" customWidth="1"/>
    <col min="22" max="22" width="9.140625" style="26" customWidth="1"/>
    <col min="23" max="16384" width="9.140625" style="82"/>
  </cols>
  <sheetData>
    <row r="1" spans="1:22" ht="19.5" customHeight="1" x14ac:dyDescent="0.3">
      <c r="A1" s="206" t="s">
        <v>210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T1" s="26"/>
      <c r="U1" s="27"/>
    </row>
    <row r="2" spans="1:22" x14ac:dyDescent="0.25">
      <c r="A2" s="1"/>
      <c r="T2" s="26"/>
      <c r="U2" s="27"/>
    </row>
    <row r="3" spans="1:22" ht="15" customHeight="1" x14ac:dyDescent="0.25">
      <c r="A3" s="2" t="s">
        <v>0</v>
      </c>
      <c r="B3" s="2"/>
      <c r="C3" s="2"/>
      <c r="T3" s="26"/>
      <c r="U3" s="27"/>
    </row>
    <row r="4" spans="1:22" x14ac:dyDescent="0.25">
      <c r="A4" s="1"/>
      <c r="T4" s="26"/>
      <c r="U4" s="27"/>
    </row>
    <row r="5" spans="1:22" ht="15" customHeight="1" x14ac:dyDescent="0.25">
      <c r="A5" s="195" t="s">
        <v>1</v>
      </c>
      <c r="B5" s="195" t="s">
        <v>2</v>
      </c>
      <c r="C5" s="195" t="s">
        <v>3</v>
      </c>
      <c r="D5" s="191" t="s">
        <v>4</v>
      </c>
      <c r="E5" s="197"/>
      <c r="F5" s="192"/>
      <c r="G5" s="191" t="s">
        <v>5</v>
      </c>
      <c r="H5" s="192"/>
      <c r="I5" s="191" t="s">
        <v>228</v>
      </c>
      <c r="J5" s="192"/>
      <c r="K5" s="182" t="s">
        <v>227</v>
      </c>
      <c r="L5" s="183"/>
      <c r="M5" s="184"/>
      <c r="N5" s="67" t="s">
        <v>6</v>
      </c>
      <c r="T5" s="51" t="s">
        <v>212</v>
      </c>
      <c r="U5" s="83">
        <v>45722</v>
      </c>
    </row>
    <row r="6" spans="1:22" x14ac:dyDescent="0.25">
      <c r="A6" s="203"/>
      <c r="B6" s="203"/>
      <c r="C6" s="203"/>
      <c r="D6" s="193"/>
      <c r="E6" s="198"/>
      <c r="F6" s="194"/>
      <c r="G6" s="193"/>
      <c r="H6" s="194"/>
      <c r="I6" s="193"/>
      <c r="J6" s="194"/>
      <c r="K6" s="185"/>
      <c r="L6" s="186"/>
      <c r="M6" s="187"/>
      <c r="N6" s="69" t="s">
        <v>8</v>
      </c>
      <c r="T6" s="51"/>
      <c r="U6" s="45" t="s">
        <v>217</v>
      </c>
    </row>
    <row r="7" spans="1:22" x14ac:dyDescent="0.25">
      <c r="A7" s="203"/>
      <c r="B7" s="203"/>
      <c r="C7" s="203"/>
      <c r="D7" s="195" t="s">
        <v>9</v>
      </c>
      <c r="E7" s="195" t="s">
        <v>10</v>
      </c>
      <c r="F7" s="195" t="s">
        <v>11</v>
      </c>
      <c r="G7" s="195" t="s">
        <v>12</v>
      </c>
      <c r="H7" s="195" t="s">
        <v>13</v>
      </c>
      <c r="I7" s="67" t="s">
        <v>14</v>
      </c>
      <c r="J7" s="195" t="s">
        <v>12</v>
      </c>
      <c r="K7" s="67" t="s">
        <v>14</v>
      </c>
      <c r="L7" s="204" t="s">
        <v>12</v>
      </c>
      <c r="M7" s="88" t="s">
        <v>7</v>
      </c>
      <c r="N7" s="69" t="s">
        <v>7</v>
      </c>
      <c r="O7" s="20" t="s">
        <v>164</v>
      </c>
      <c r="P7" s="82" t="s">
        <v>167</v>
      </c>
      <c r="S7" s="82" t="s">
        <v>173</v>
      </c>
      <c r="T7" s="51" t="s">
        <v>211</v>
      </c>
      <c r="U7" s="45" t="s">
        <v>216</v>
      </c>
    </row>
    <row r="8" spans="1:22" x14ac:dyDescent="0.25">
      <c r="A8" s="196"/>
      <c r="B8" s="196"/>
      <c r="C8" s="196"/>
      <c r="D8" s="196"/>
      <c r="E8" s="196"/>
      <c r="F8" s="196"/>
      <c r="G8" s="196"/>
      <c r="H8" s="196"/>
      <c r="I8" s="68" t="s">
        <v>15</v>
      </c>
      <c r="J8" s="196"/>
      <c r="K8" s="68" t="s">
        <v>15</v>
      </c>
      <c r="L8" s="205"/>
      <c r="M8" s="89"/>
      <c r="N8" s="68"/>
      <c r="O8" s="20">
        <v>48</v>
      </c>
      <c r="P8" s="82">
        <v>12</v>
      </c>
      <c r="Q8" s="82">
        <v>12</v>
      </c>
      <c r="R8" s="82">
        <v>24</v>
      </c>
      <c r="S8" s="82">
        <v>72</v>
      </c>
      <c r="T8" s="51" t="s">
        <v>199</v>
      </c>
      <c r="U8" s="45">
        <f>48+24+24+72</f>
        <v>168</v>
      </c>
    </row>
    <row r="9" spans="1:22" x14ac:dyDescent="0.25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91"/>
      <c r="M9" s="75"/>
      <c r="N9" s="75"/>
      <c r="T9" s="26"/>
      <c r="U9" s="27"/>
    </row>
    <row r="10" spans="1:22" x14ac:dyDescent="0.25">
      <c r="A10" s="171" t="s">
        <v>16</v>
      </c>
      <c r="B10" s="172"/>
      <c r="C10" s="13"/>
      <c r="D10" s="13"/>
      <c r="E10" s="13"/>
      <c r="F10" s="13"/>
      <c r="G10" s="13"/>
      <c r="H10" s="13"/>
      <c r="I10" s="13"/>
      <c r="J10" s="13"/>
      <c r="K10" s="13"/>
      <c r="L10" s="92"/>
      <c r="M10" s="13"/>
      <c r="N10" s="13"/>
      <c r="O10" s="82" t="s">
        <v>175</v>
      </c>
      <c r="P10" s="82" t="s">
        <v>175</v>
      </c>
      <c r="Q10" s="82" t="s">
        <v>175</v>
      </c>
      <c r="R10" s="82" t="s">
        <v>175</v>
      </c>
      <c r="S10" s="82" t="s">
        <v>175</v>
      </c>
      <c r="T10" s="26"/>
      <c r="U10" s="27"/>
    </row>
    <row r="11" spans="1:22" x14ac:dyDescent="0.25">
      <c r="A11" s="5" t="s">
        <v>17</v>
      </c>
      <c r="B11" s="50" t="s">
        <v>213</v>
      </c>
      <c r="C11" s="5" t="s">
        <v>18</v>
      </c>
      <c r="D11" s="5" t="s">
        <v>233</v>
      </c>
      <c r="E11" s="5" t="s">
        <v>19</v>
      </c>
      <c r="F11" s="5" t="s">
        <v>19</v>
      </c>
      <c r="G11" s="6">
        <f>L11*6</f>
        <v>1326</v>
      </c>
      <c r="H11" s="7" t="s">
        <v>20</v>
      </c>
      <c r="I11" s="8">
        <v>6000</v>
      </c>
      <c r="J11" s="8">
        <v>208</v>
      </c>
      <c r="K11" s="8">
        <v>6000</v>
      </c>
      <c r="L11" s="90">
        <f>_xlfn.CEILING.MATH(V11)</f>
        <v>221</v>
      </c>
      <c r="M11" s="8">
        <v>0.44600000000000001</v>
      </c>
      <c r="N11" s="8">
        <v>556.60799999999995</v>
      </c>
      <c r="O11" s="21">
        <v>77</v>
      </c>
      <c r="P11" s="42">
        <v>16</v>
      </c>
      <c r="Q11" s="42">
        <v>16</v>
      </c>
      <c r="R11" s="82">
        <v>32</v>
      </c>
      <c r="S11" s="82">
        <v>72</v>
      </c>
      <c r="T11" s="44">
        <v>210</v>
      </c>
      <c r="U11" s="85">
        <f>(0.893*6*72+0.958*8*48+0.813*8*24+0.908*8*24)/6</f>
        <v>180.67999999999998</v>
      </c>
      <c r="V11" s="26">
        <f>T11*1.05</f>
        <v>220.5</v>
      </c>
    </row>
    <row r="12" spans="1:22" x14ac:dyDescent="0.25">
      <c r="A12" s="5" t="s">
        <v>17</v>
      </c>
      <c r="B12" s="50" t="s">
        <v>214</v>
      </c>
      <c r="C12" s="5" t="s">
        <v>21</v>
      </c>
      <c r="D12" s="5" t="s">
        <v>233</v>
      </c>
      <c r="E12" s="5" t="s">
        <v>19</v>
      </c>
      <c r="F12" s="5" t="s">
        <v>19</v>
      </c>
      <c r="G12" s="6">
        <f t="shared" ref="G12:G40" si="0">L12*6</f>
        <v>948</v>
      </c>
      <c r="H12" s="7" t="s">
        <v>20</v>
      </c>
      <c r="I12" s="8">
        <v>6000</v>
      </c>
      <c r="J12" s="8">
        <v>135</v>
      </c>
      <c r="K12" s="8">
        <v>6000</v>
      </c>
      <c r="L12" s="90">
        <f t="shared" ref="L12:L53" si="1">_xlfn.CEILING.MATH(V12)</f>
        <v>158</v>
      </c>
      <c r="M12" s="8">
        <v>0.55200000000000005</v>
      </c>
      <c r="N12" s="8">
        <v>447.12</v>
      </c>
      <c r="O12" s="21">
        <v>39</v>
      </c>
      <c r="P12" s="42">
        <v>12</v>
      </c>
      <c r="Q12" s="42">
        <v>12</v>
      </c>
      <c r="R12" s="82">
        <v>24</v>
      </c>
      <c r="S12" s="82">
        <v>70</v>
      </c>
      <c r="T12" s="44">
        <v>150</v>
      </c>
      <c r="U12" s="85">
        <f>(1.166*4*168)/6</f>
        <v>130.59199999999998</v>
      </c>
      <c r="V12" s="26">
        <f t="shared" ref="V12:V37" si="2">T12*1.05</f>
        <v>157.5</v>
      </c>
    </row>
    <row r="13" spans="1:22" x14ac:dyDescent="0.25">
      <c r="A13" s="5" t="s">
        <v>17</v>
      </c>
      <c r="B13" s="50" t="s">
        <v>215</v>
      </c>
      <c r="C13" s="5" t="s">
        <v>22</v>
      </c>
      <c r="D13" s="5" t="s">
        <v>233</v>
      </c>
      <c r="E13" s="5" t="s">
        <v>19</v>
      </c>
      <c r="F13" s="5" t="s">
        <v>19</v>
      </c>
      <c r="G13" s="6">
        <f t="shared" si="0"/>
        <v>708</v>
      </c>
      <c r="H13" s="7" t="s">
        <v>20</v>
      </c>
      <c r="I13" s="8">
        <v>6000</v>
      </c>
      <c r="J13" s="8">
        <v>106</v>
      </c>
      <c r="K13" s="8">
        <v>6000</v>
      </c>
      <c r="L13" s="90">
        <f t="shared" si="1"/>
        <v>118</v>
      </c>
      <c r="M13" s="8">
        <v>0.52300000000000002</v>
      </c>
      <c r="N13" s="8">
        <v>332.62799999999999</v>
      </c>
      <c r="O13" s="21">
        <v>39</v>
      </c>
      <c r="P13" s="42">
        <v>12</v>
      </c>
      <c r="Q13" s="42">
        <v>12</v>
      </c>
      <c r="R13" s="82">
        <v>24</v>
      </c>
      <c r="S13" s="82">
        <v>35</v>
      </c>
      <c r="T13" s="44">
        <v>112</v>
      </c>
      <c r="U13" s="85">
        <f>(1.166*2*72+1.166*4*(48+24+24))/6</f>
        <v>102.60799999999999</v>
      </c>
      <c r="V13" s="26">
        <f t="shared" si="2"/>
        <v>117.60000000000001</v>
      </c>
    </row>
    <row r="14" spans="1:22" s="26" customFormat="1" x14ac:dyDescent="0.25">
      <c r="A14" s="22" t="s">
        <v>17</v>
      </c>
      <c r="B14" s="22" t="s">
        <v>23</v>
      </c>
      <c r="C14" s="22" t="s">
        <v>24</v>
      </c>
      <c r="D14" s="22" t="s">
        <v>233</v>
      </c>
      <c r="E14" s="22" t="s">
        <v>19</v>
      </c>
      <c r="F14" s="22" t="s">
        <v>19</v>
      </c>
      <c r="G14" s="6">
        <f t="shared" si="0"/>
        <v>114</v>
      </c>
      <c r="H14" s="24" t="s">
        <v>20</v>
      </c>
      <c r="I14" s="25">
        <v>6000</v>
      </c>
      <c r="J14" s="25">
        <v>18</v>
      </c>
      <c r="K14" s="25">
        <v>6000</v>
      </c>
      <c r="L14" s="90">
        <f t="shared" si="1"/>
        <v>19</v>
      </c>
      <c r="M14" s="25">
        <v>0.73399999999999999</v>
      </c>
      <c r="N14" s="25">
        <v>79.272000000000006</v>
      </c>
      <c r="P14" s="29">
        <v>9</v>
      </c>
      <c r="Q14" s="29">
        <v>9</v>
      </c>
      <c r="T14" s="45">
        <v>18</v>
      </c>
      <c r="U14" s="86">
        <f>((0.977+1.184)*2*24)/6</f>
        <v>17.288</v>
      </c>
      <c r="V14" s="26">
        <f t="shared" si="2"/>
        <v>18.900000000000002</v>
      </c>
    </row>
    <row r="15" spans="1:22" s="26" customFormat="1" x14ac:dyDescent="0.25">
      <c r="A15" s="22" t="s">
        <v>176</v>
      </c>
      <c r="B15" s="22" t="s">
        <v>25</v>
      </c>
      <c r="C15" s="22" t="s">
        <v>26</v>
      </c>
      <c r="D15" s="22" t="s">
        <v>233</v>
      </c>
      <c r="E15" s="22" t="s">
        <v>19</v>
      </c>
      <c r="F15" s="22" t="s">
        <v>19</v>
      </c>
      <c r="G15" s="6">
        <f t="shared" si="0"/>
        <v>192</v>
      </c>
      <c r="H15" s="24" t="s">
        <v>20</v>
      </c>
      <c r="I15" s="25">
        <v>6000</v>
      </c>
      <c r="J15" s="25">
        <v>30</v>
      </c>
      <c r="K15" s="25">
        <v>6000</v>
      </c>
      <c r="L15" s="90">
        <f t="shared" si="1"/>
        <v>32</v>
      </c>
      <c r="M15" s="25">
        <v>0.224</v>
      </c>
      <c r="N15" s="25">
        <v>40.32</v>
      </c>
      <c r="S15" s="27">
        <v>30</v>
      </c>
      <c r="T15" s="45">
        <v>30</v>
      </c>
      <c r="U15" s="86">
        <f>(0.602+0.401+0.164)*2*72/6</f>
        <v>28.007999999999999</v>
      </c>
      <c r="V15" s="26">
        <f t="shared" si="2"/>
        <v>31.5</v>
      </c>
    </row>
    <row r="16" spans="1:22" s="26" customFormat="1" x14ac:dyDescent="0.25">
      <c r="A16" s="22" t="s">
        <v>17</v>
      </c>
      <c r="B16" s="22" t="s">
        <v>27</v>
      </c>
      <c r="C16" s="22" t="s">
        <v>28</v>
      </c>
      <c r="D16" s="22" t="s">
        <v>233</v>
      </c>
      <c r="E16" s="22" t="s">
        <v>19</v>
      </c>
      <c r="F16" s="22" t="s">
        <v>19</v>
      </c>
      <c r="G16" s="6">
        <f t="shared" si="0"/>
        <v>108</v>
      </c>
      <c r="H16" s="24" t="s">
        <v>20</v>
      </c>
      <c r="I16" s="25">
        <v>6000</v>
      </c>
      <c r="J16" s="25">
        <v>17</v>
      </c>
      <c r="K16" s="25">
        <v>6000</v>
      </c>
      <c r="L16" s="90">
        <f t="shared" si="1"/>
        <v>18</v>
      </c>
      <c r="M16" s="25">
        <v>0.18099999999999999</v>
      </c>
      <c r="N16" s="25">
        <v>18.462</v>
      </c>
      <c r="P16" s="26">
        <v>8.5</v>
      </c>
      <c r="Q16" s="26">
        <v>8.5</v>
      </c>
      <c r="T16" s="45">
        <v>17</v>
      </c>
      <c r="U16" s="86" t="s">
        <v>218</v>
      </c>
      <c r="V16" s="26">
        <f t="shared" si="2"/>
        <v>17.850000000000001</v>
      </c>
    </row>
    <row r="17" spans="1:22" s="26" customFormat="1" x14ac:dyDescent="0.25">
      <c r="A17" s="22" t="s">
        <v>17</v>
      </c>
      <c r="B17" s="22" t="s">
        <v>29</v>
      </c>
      <c r="C17" s="22" t="s">
        <v>28</v>
      </c>
      <c r="D17" s="22" t="s">
        <v>233</v>
      </c>
      <c r="E17" s="22" t="s">
        <v>19</v>
      </c>
      <c r="F17" s="22" t="s">
        <v>19</v>
      </c>
      <c r="G17" s="6">
        <f t="shared" si="0"/>
        <v>1218</v>
      </c>
      <c r="H17" s="24" t="s">
        <v>20</v>
      </c>
      <c r="I17" s="25">
        <v>6000</v>
      </c>
      <c r="J17" s="25">
        <v>193</v>
      </c>
      <c r="K17" s="25">
        <v>6000</v>
      </c>
      <c r="L17" s="90">
        <f t="shared" si="1"/>
        <v>203</v>
      </c>
      <c r="M17" s="25">
        <v>0.16200000000000001</v>
      </c>
      <c r="N17" s="25">
        <v>161.352</v>
      </c>
      <c r="T17" s="45">
        <v>193</v>
      </c>
      <c r="U17" s="86" t="s">
        <v>219</v>
      </c>
      <c r="V17" s="26">
        <f t="shared" si="2"/>
        <v>202.65</v>
      </c>
    </row>
    <row r="18" spans="1:22" x14ac:dyDescent="0.25">
      <c r="A18" s="5" t="s">
        <v>17</v>
      </c>
      <c r="B18" s="5" t="s">
        <v>30</v>
      </c>
      <c r="C18" s="5" t="s">
        <v>31</v>
      </c>
      <c r="D18" s="5" t="s">
        <v>233</v>
      </c>
      <c r="E18" s="5" t="s">
        <v>19</v>
      </c>
      <c r="F18" s="5" t="s">
        <v>19</v>
      </c>
      <c r="G18" s="6">
        <f t="shared" si="0"/>
        <v>186</v>
      </c>
      <c r="H18" s="7" t="s">
        <v>20</v>
      </c>
      <c r="I18" s="8">
        <v>6000</v>
      </c>
      <c r="J18" s="8">
        <v>29</v>
      </c>
      <c r="K18" s="8">
        <v>6000</v>
      </c>
      <c r="L18" s="90">
        <f t="shared" si="1"/>
        <v>31</v>
      </c>
      <c r="M18" s="8">
        <v>0.2</v>
      </c>
      <c r="N18" s="8">
        <v>34.799999999999997</v>
      </c>
      <c r="T18" s="44">
        <v>29</v>
      </c>
      <c r="U18" s="85">
        <f>(1.182*2*72)/6</f>
        <v>28.367999999999999</v>
      </c>
      <c r="V18" s="26">
        <f t="shared" si="2"/>
        <v>30.450000000000003</v>
      </c>
    </row>
    <row r="19" spans="1:22" s="26" customFormat="1" x14ac:dyDescent="0.25">
      <c r="A19" s="22" t="s">
        <v>17</v>
      </c>
      <c r="B19" s="22" t="s">
        <v>32</v>
      </c>
      <c r="C19" s="22" t="s">
        <v>33</v>
      </c>
      <c r="D19" s="22" t="s">
        <v>233</v>
      </c>
      <c r="E19" s="22" t="s">
        <v>19</v>
      </c>
      <c r="F19" s="22" t="s">
        <v>19</v>
      </c>
      <c r="G19" s="6">
        <f t="shared" si="0"/>
        <v>456</v>
      </c>
      <c r="H19" s="24" t="s">
        <v>20</v>
      </c>
      <c r="I19" s="25">
        <v>6000</v>
      </c>
      <c r="J19" s="25">
        <v>72</v>
      </c>
      <c r="K19" s="25">
        <v>6000</v>
      </c>
      <c r="L19" s="90">
        <f t="shared" si="1"/>
        <v>76</v>
      </c>
      <c r="M19" s="25">
        <v>1.1299999999999999</v>
      </c>
      <c r="N19" s="25">
        <v>488.16</v>
      </c>
      <c r="S19" s="26">
        <v>72</v>
      </c>
      <c r="T19" s="45">
        <v>72</v>
      </c>
      <c r="U19" s="86">
        <f>(0.916*6*72)/6</f>
        <v>65.952000000000012</v>
      </c>
      <c r="V19" s="26">
        <f t="shared" si="2"/>
        <v>75.600000000000009</v>
      </c>
    </row>
    <row r="20" spans="1:22" s="26" customFormat="1" x14ac:dyDescent="0.25">
      <c r="A20" s="22" t="s">
        <v>17</v>
      </c>
      <c r="B20" s="50" t="s">
        <v>34</v>
      </c>
      <c r="C20" s="22" t="s">
        <v>35</v>
      </c>
      <c r="D20" s="22" t="s">
        <v>233</v>
      </c>
      <c r="E20" s="22" t="s">
        <v>19</v>
      </c>
      <c r="F20" s="22" t="s">
        <v>19</v>
      </c>
      <c r="G20" s="6">
        <f t="shared" si="0"/>
        <v>1260</v>
      </c>
      <c r="H20" s="24" t="s">
        <v>20</v>
      </c>
      <c r="I20" s="25">
        <v>6000</v>
      </c>
      <c r="J20" s="25">
        <v>200</v>
      </c>
      <c r="K20" s="25">
        <v>6000</v>
      </c>
      <c r="L20" s="90">
        <f>200*1.05</f>
        <v>210</v>
      </c>
      <c r="M20" s="25">
        <v>0.28000000000000003</v>
      </c>
      <c r="N20" s="25">
        <v>336</v>
      </c>
      <c r="T20" s="45">
        <v>172</v>
      </c>
      <c r="U20" s="86" t="s">
        <v>220</v>
      </c>
      <c r="V20" s="26">
        <f t="shared" si="2"/>
        <v>180.6</v>
      </c>
    </row>
    <row r="21" spans="1:22" s="26" customFormat="1" x14ac:dyDescent="0.25">
      <c r="A21" s="22" t="s">
        <v>17</v>
      </c>
      <c r="B21" s="22" t="s">
        <v>36</v>
      </c>
      <c r="C21" s="22" t="s">
        <v>33</v>
      </c>
      <c r="D21" s="22" t="s">
        <v>233</v>
      </c>
      <c r="E21" s="22" t="s">
        <v>19</v>
      </c>
      <c r="F21" s="22" t="s">
        <v>19</v>
      </c>
      <c r="G21" s="6">
        <f t="shared" si="0"/>
        <v>498</v>
      </c>
      <c r="H21" s="24" t="s">
        <v>20</v>
      </c>
      <c r="I21" s="25">
        <v>6000</v>
      </c>
      <c r="J21" s="25">
        <v>79</v>
      </c>
      <c r="K21" s="25">
        <v>6000</v>
      </c>
      <c r="L21" s="90">
        <f t="shared" si="1"/>
        <v>83</v>
      </c>
      <c r="M21" s="25">
        <v>1.26</v>
      </c>
      <c r="N21" s="25">
        <v>597.24</v>
      </c>
      <c r="S21" s="26">
        <v>79</v>
      </c>
      <c r="T21" s="45">
        <v>79</v>
      </c>
      <c r="U21" s="86">
        <f>(0.916*3*72+1.234*2*72+0.23*2*72)/6</f>
        <v>68.112000000000009</v>
      </c>
      <c r="V21" s="26">
        <f t="shared" si="2"/>
        <v>82.95</v>
      </c>
    </row>
    <row r="22" spans="1:22" s="26" customFormat="1" x14ac:dyDescent="0.25">
      <c r="A22" s="22" t="s">
        <v>17</v>
      </c>
      <c r="B22" s="22" t="s">
        <v>37</v>
      </c>
      <c r="C22" s="22" t="s">
        <v>38</v>
      </c>
      <c r="D22" s="22" t="s">
        <v>233</v>
      </c>
      <c r="E22" s="22" t="s">
        <v>19</v>
      </c>
      <c r="F22" s="22" t="s">
        <v>19</v>
      </c>
      <c r="G22" s="6">
        <f t="shared" si="0"/>
        <v>648</v>
      </c>
      <c r="H22" s="24" t="s">
        <v>20</v>
      </c>
      <c r="I22" s="25">
        <v>6000</v>
      </c>
      <c r="J22" s="25">
        <v>102</v>
      </c>
      <c r="K22" s="25">
        <v>6000</v>
      </c>
      <c r="L22" s="90">
        <f t="shared" si="1"/>
        <v>108</v>
      </c>
      <c r="M22" s="25">
        <v>0.27700000000000002</v>
      </c>
      <c r="N22" s="25">
        <v>169.524</v>
      </c>
      <c r="T22" s="45">
        <v>102</v>
      </c>
      <c r="U22" s="86" t="s">
        <v>221</v>
      </c>
      <c r="V22" s="26">
        <f t="shared" si="2"/>
        <v>107.10000000000001</v>
      </c>
    </row>
    <row r="23" spans="1:22" s="26" customFormat="1" x14ac:dyDescent="0.25">
      <c r="A23" s="22" t="s">
        <v>17</v>
      </c>
      <c r="B23" s="22" t="s">
        <v>39</v>
      </c>
      <c r="C23" s="22" t="s">
        <v>40</v>
      </c>
      <c r="D23" s="22" t="s">
        <v>233</v>
      </c>
      <c r="E23" s="22" t="s">
        <v>19</v>
      </c>
      <c r="F23" s="22" t="s">
        <v>19</v>
      </c>
      <c r="G23" s="6">
        <f t="shared" si="0"/>
        <v>36</v>
      </c>
      <c r="H23" s="24" t="s">
        <v>20</v>
      </c>
      <c r="I23" s="25">
        <v>6000</v>
      </c>
      <c r="J23" s="25">
        <v>5</v>
      </c>
      <c r="K23" s="25">
        <v>6000</v>
      </c>
      <c r="L23" s="90">
        <f t="shared" si="1"/>
        <v>6</v>
      </c>
      <c r="M23" s="25">
        <v>0.59599999999999997</v>
      </c>
      <c r="N23" s="25">
        <v>17.88</v>
      </c>
      <c r="T23" s="45">
        <v>5</v>
      </c>
      <c r="U23" s="86">
        <f>1.145*24/6</f>
        <v>4.58</v>
      </c>
      <c r="V23" s="26">
        <f t="shared" si="2"/>
        <v>5.25</v>
      </c>
    </row>
    <row r="24" spans="1:22" s="26" customFormat="1" x14ac:dyDescent="0.25">
      <c r="A24" s="22" t="s">
        <v>17</v>
      </c>
      <c r="B24" s="50" t="s">
        <v>41</v>
      </c>
      <c r="C24" s="22" t="s">
        <v>28</v>
      </c>
      <c r="D24" s="22" t="s">
        <v>233</v>
      </c>
      <c r="E24" s="22" t="s">
        <v>19</v>
      </c>
      <c r="F24" s="22" t="s">
        <v>19</v>
      </c>
      <c r="G24" s="6">
        <f t="shared" si="0"/>
        <v>2394</v>
      </c>
      <c r="H24" s="24" t="s">
        <v>20</v>
      </c>
      <c r="I24" s="25">
        <v>6000</v>
      </c>
      <c r="J24" s="25">
        <v>380</v>
      </c>
      <c r="K24" s="25">
        <v>6000</v>
      </c>
      <c r="L24" s="90">
        <v>399</v>
      </c>
      <c r="M24" s="25">
        <v>0.17100000000000001</v>
      </c>
      <c r="N24" s="25">
        <v>416.55599999999998</v>
      </c>
      <c r="T24" s="45">
        <v>342</v>
      </c>
      <c r="U24" s="86" t="s">
        <v>222</v>
      </c>
      <c r="V24" s="26">
        <f t="shared" si="2"/>
        <v>359.1</v>
      </c>
    </row>
    <row r="25" spans="1:22" s="26" customFormat="1" x14ac:dyDescent="0.25">
      <c r="A25" s="22" t="s">
        <v>17</v>
      </c>
      <c r="B25" s="22" t="s">
        <v>42</v>
      </c>
      <c r="C25" s="22" t="s">
        <v>43</v>
      </c>
      <c r="D25" s="22" t="s">
        <v>233</v>
      </c>
      <c r="E25" s="22" t="s">
        <v>19</v>
      </c>
      <c r="F25" s="22" t="s">
        <v>19</v>
      </c>
      <c r="G25" s="6">
        <f t="shared" si="0"/>
        <v>810</v>
      </c>
      <c r="H25" s="24" t="s">
        <v>20</v>
      </c>
      <c r="I25" s="25">
        <v>6000</v>
      </c>
      <c r="J25" s="25">
        <v>128</v>
      </c>
      <c r="K25" s="25">
        <v>6000</v>
      </c>
      <c r="L25" s="90">
        <f t="shared" si="1"/>
        <v>135</v>
      </c>
      <c r="M25" s="25">
        <v>1.2509999999999999</v>
      </c>
      <c r="N25" s="25">
        <v>960.76800000000003</v>
      </c>
      <c r="O25" s="26">
        <v>96</v>
      </c>
      <c r="P25" s="26">
        <v>0</v>
      </c>
      <c r="Q25" s="26">
        <v>0</v>
      </c>
      <c r="R25" s="26">
        <v>32</v>
      </c>
      <c r="T25" s="44">
        <v>128</v>
      </c>
      <c r="U25" s="85">
        <f>(2.086*4*48+1.796*4*24+1.986*4*24)/6</f>
        <v>127.26399999999997</v>
      </c>
      <c r="V25" s="26">
        <f t="shared" si="2"/>
        <v>134.4</v>
      </c>
    </row>
    <row r="26" spans="1:22" s="26" customFormat="1" x14ac:dyDescent="0.25">
      <c r="A26" s="22" t="s">
        <v>17</v>
      </c>
      <c r="B26" s="22" t="s">
        <v>44</v>
      </c>
      <c r="C26" s="22" t="s">
        <v>31</v>
      </c>
      <c r="D26" s="22" t="s">
        <v>233</v>
      </c>
      <c r="E26" s="22" t="s">
        <v>19</v>
      </c>
      <c r="F26" s="22" t="s">
        <v>19</v>
      </c>
      <c r="G26" s="6">
        <f t="shared" si="0"/>
        <v>36</v>
      </c>
      <c r="H26" s="24" t="s">
        <v>20</v>
      </c>
      <c r="I26" s="25">
        <v>6000</v>
      </c>
      <c r="J26" s="25">
        <v>5</v>
      </c>
      <c r="K26" s="25">
        <v>6000</v>
      </c>
      <c r="L26" s="90">
        <f t="shared" si="1"/>
        <v>6</v>
      </c>
      <c r="M26" s="25">
        <v>0.433</v>
      </c>
      <c r="N26" s="25">
        <v>12.99</v>
      </c>
      <c r="T26" s="45">
        <v>5</v>
      </c>
      <c r="U26" s="86">
        <f>1.145*24/6</f>
        <v>4.58</v>
      </c>
      <c r="V26" s="26">
        <f t="shared" si="2"/>
        <v>5.25</v>
      </c>
    </row>
    <row r="27" spans="1:22" s="26" customFormat="1" x14ac:dyDescent="0.25">
      <c r="A27" s="22" t="s">
        <v>17</v>
      </c>
      <c r="B27" s="22" t="s">
        <v>45</v>
      </c>
      <c r="C27" s="22" t="s">
        <v>46</v>
      </c>
      <c r="D27" s="22" t="s">
        <v>47</v>
      </c>
      <c r="E27" s="22" t="s">
        <v>47</v>
      </c>
      <c r="F27" s="22" t="s">
        <v>47</v>
      </c>
      <c r="G27" s="6">
        <f t="shared" si="0"/>
        <v>30</v>
      </c>
      <c r="H27" s="24" t="s">
        <v>20</v>
      </c>
      <c r="I27" s="25">
        <v>6000</v>
      </c>
      <c r="J27" s="25">
        <v>4</v>
      </c>
      <c r="K27" s="25">
        <v>6000</v>
      </c>
      <c r="L27" s="90">
        <f t="shared" si="1"/>
        <v>5</v>
      </c>
      <c r="M27" s="25">
        <v>0.16700000000000001</v>
      </c>
      <c r="N27" s="25">
        <v>4.008</v>
      </c>
      <c r="T27" s="45">
        <v>4</v>
      </c>
      <c r="U27" s="86" t="s">
        <v>223</v>
      </c>
      <c r="V27" s="26">
        <f t="shared" si="2"/>
        <v>4.2</v>
      </c>
    </row>
    <row r="28" spans="1:22" s="26" customFormat="1" x14ac:dyDescent="0.25">
      <c r="A28" s="22" t="s">
        <v>17</v>
      </c>
      <c r="B28" s="22" t="s">
        <v>48</v>
      </c>
      <c r="C28" s="22" t="s">
        <v>49</v>
      </c>
      <c r="D28" s="22" t="s">
        <v>233</v>
      </c>
      <c r="E28" s="22" t="s">
        <v>19</v>
      </c>
      <c r="F28" s="22" t="s">
        <v>19</v>
      </c>
      <c r="G28" s="6">
        <f t="shared" si="0"/>
        <v>852</v>
      </c>
      <c r="H28" s="24" t="s">
        <v>20</v>
      </c>
      <c r="I28" s="25">
        <v>6000</v>
      </c>
      <c r="J28" s="25">
        <v>135</v>
      </c>
      <c r="K28" s="25">
        <v>6000</v>
      </c>
      <c r="L28" s="90">
        <f t="shared" si="1"/>
        <v>142</v>
      </c>
      <c r="M28" s="25">
        <v>0.625</v>
      </c>
      <c r="N28" s="25">
        <v>506.25</v>
      </c>
      <c r="O28" s="26">
        <v>63</v>
      </c>
      <c r="P28" s="26">
        <v>20</v>
      </c>
      <c r="Q28" s="26">
        <v>20</v>
      </c>
      <c r="R28" s="26">
        <v>32</v>
      </c>
      <c r="T28" s="45">
        <v>135</v>
      </c>
      <c r="U28" s="86">
        <f>(1.008*8*48+0.863*10*24+0.958*8*24)/6</f>
        <v>129.68799999999999</v>
      </c>
      <c r="V28" s="26">
        <f t="shared" si="2"/>
        <v>141.75</v>
      </c>
    </row>
    <row r="29" spans="1:22" x14ac:dyDescent="0.25">
      <c r="A29" s="5" t="s">
        <v>17</v>
      </c>
      <c r="B29" s="5" t="s">
        <v>50</v>
      </c>
      <c r="C29" s="5" t="s">
        <v>49</v>
      </c>
      <c r="D29" s="5" t="s">
        <v>233</v>
      </c>
      <c r="E29" s="5" t="s">
        <v>19</v>
      </c>
      <c r="F29" s="5" t="s">
        <v>19</v>
      </c>
      <c r="G29" s="6">
        <f t="shared" si="0"/>
        <v>810</v>
      </c>
      <c r="H29" s="7" t="s">
        <v>20</v>
      </c>
      <c r="I29" s="8">
        <v>6000</v>
      </c>
      <c r="J29" s="8">
        <v>128</v>
      </c>
      <c r="K29" s="8">
        <v>6000</v>
      </c>
      <c r="L29" s="90">
        <f t="shared" si="1"/>
        <v>135</v>
      </c>
      <c r="M29" s="8">
        <v>0.67700000000000005</v>
      </c>
      <c r="N29" s="8">
        <v>519.93600000000004</v>
      </c>
      <c r="T29" s="44">
        <v>128</v>
      </c>
      <c r="U29" s="85">
        <f>((1.008*4+1.243*2+0.248*2)*48+(0.863*4+1.05*3+1.243*2+0.248*2)*24+(0.945*4+1.243*2+0.248*2)*24)/6</f>
        <v>121.49600000000002</v>
      </c>
      <c r="V29" s="26">
        <f t="shared" si="2"/>
        <v>134.4</v>
      </c>
    </row>
    <row r="30" spans="1:22" s="26" customFormat="1" x14ac:dyDescent="0.25">
      <c r="A30" s="22" t="s">
        <v>17</v>
      </c>
      <c r="B30" s="22" t="s">
        <v>51</v>
      </c>
      <c r="C30" s="22" t="s">
        <v>52</v>
      </c>
      <c r="D30" s="22" t="s">
        <v>233</v>
      </c>
      <c r="E30" s="22" t="s">
        <v>19</v>
      </c>
      <c r="F30" s="22" t="s">
        <v>19</v>
      </c>
      <c r="G30" s="6">
        <f t="shared" si="0"/>
        <v>504</v>
      </c>
      <c r="H30" s="24" t="s">
        <v>20</v>
      </c>
      <c r="I30" s="25">
        <v>6000</v>
      </c>
      <c r="J30" s="25">
        <v>83</v>
      </c>
      <c r="K30" s="25">
        <v>6000</v>
      </c>
      <c r="L30" s="90">
        <f t="shared" si="1"/>
        <v>84</v>
      </c>
      <c r="M30" s="25">
        <v>0.3</v>
      </c>
      <c r="N30" s="25">
        <v>149.4</v>
      </c>
      <c r="T30" s="45">
        <v>80</v>
      </c>
      <c r="U30" s="86">
        <f>((0.619+0.418+0.182)*4*(48+24+24))/6</f>
        <v>78.015999999999991</v>
      </c>
      <c r="V30" s="26">
        <f t="shared" si="2"/>
        <v>84</v>
      </c>
    </row>
    <row r="31" spans="1:22" ht="23.25" x14ac:dyDescent="0.25">
      <c r="A31" s="5" t="s">
        <v>17</v>
      </c>
      <c r="B31" s="5" t="s">
        <v>53</v>
      </c>
      <c r="C31" s="5" t="s">
        <v>54</v>
      </c>
      <c r="D31" s="5" t="s">
        <v>233</v>
      </c>
      <c r="E31" s="5" t="s">
        <v>19</v>
      </c>
      <c r="F31" s="5" t="s">
        <v>19</v>
      </c>
      <c r="G31" s="6">
        <f t="shared" si="0"/>
        <v>456</v>
      </c>
      <c r="H31" s="7" t="s">
        <v>20</v>
      </c>
      <c r="I31" s="8">
        <v>6000</v>
      </c>
      <c r="J31" s="8">
        <v>72</v>
      </c>
      <c r="K31" s="8">
        <v>6000</v>
      </c>
      <c r="L31" s="90">
        <f t="shared" si="1"/>
        <v>76</v>
      </c>
      <c r="M31" s="8">
        <v>1.7749999999999999</v>
      </c>
      <c r="N31" s="8">
        <v>766.8</v>
      </c>
      <c r="S31" s="82">
        <v>72</v>
      </c>
      <c r="T31" s="44">
        <v>72</v>
      </c>
      <c r="U31" s="85">
        <v>72</v>
      </c>
      <c r="V31" s="26">
        <f t="shared" si="2"/>
        <v>75.600000000000009</v>
      </c>
    </row>
    <row r="32" spans="1:22" ht="23.25" x14ac:dyDescent="0.25">
      <c r="A32" s="5" t="s">
        <v>17</v>
      </c>
      <c r="B32" s="5" t="s">
        <v>55</v>
      </c>
      <c r="C32" s="5" t="s">
        <v>56</v>
      </c>
      <c r="D32" s="5" t="s">
        <v>233</v>
      </c>
      <c r="E32" s="5" t="s">
        <v>19</v>
      </c>
      <c r="F32" s="5" t="s">
        <v>19</v>
      </c>
      <c r="G32" s="6">
        <f t="shared" si="0"/>
        <v>456</v>
      </c>
      <c r="H32" s="7" t="s">
        <v>20</v>
      </c>
      <c r="I32" s="8">
        <v>6000</v>
      </c>
      <c r="J32" s="8">
        <v>72</v>
      </c>
      <c r="K32" s="8">
        <v>6000</v>
      </c>
      <c r="L32" s="90">
        <f t="shared" si="1"/>
        <v>76</v>
      </c>
      <c r="M32" s="8">
        <v>1.7050000000000001</v>
      </c>
      <c r="N32" s="8">
        <v>736.56</v>
      </c>
      <c r="S32" s="26">
        <v>72</v>
      </c>
      <c r="T32" s="44">
        <v>72</v>
      </c>
      <c r="U32" s="85">
        <v>72</v>
      </c>
      <c r="V32" s="26">
        <f t="shared" si="2"/>
        <v>75.600000000000009</v>
      </c>
    </row>
    <row r="33" spans="1:22" s="26" customFormat="1" x14ac:dyDescent="0.25">
      <c r="A33" s="22" t="s">
        <v>17</v>
      </c>
      <c r="B33" s="22" t="s">
        <v>57</v>
      </c>
      <c r="C33" s="22" t="s">
        <v>58</v>
      </c>
      <c r="D33" s="22" t="s">
        <v>233</v>
      </c>
      <c r="E33" s="22" t="s">
        <v>19</v>
      </c>
      <c r="F33" s="22" t="s">
        <v>19</v>
      </c>
      <c r="G33" s="6">
        <f t="shared" si="0"/>
        <v>912</v>
      </c>
      <c r="H33" s="24" t="s">
        <v>20</v>
      </c>
      <c r="I33" s="25">
        <v>6000</v>
      </c>
      <c r="J33" s="25">
        <v>144</v>
      </c>
      <c r="K33" s="25">
        <v>6000</v>
      </c>
      <c r="L33" s="90">
        <f t="shared" si="1"/>
        <v>152</v>
      </c>
      <c r="M33" s="25">
        <v>1.343</v>
      </c>
      <c r="N33" s="25">
        <v>1160.3520000000001</v>
      </c>
      <c r="O33" s="26">
        <v>72</v>
      </c>
      <c r="P33" s="26">
        <v>18</v>
      </c>
      <c r="Q33" s="26">
        <v>18</v>
      </c>
      <c r="R33" s="26">
        <v>36</v>
      </c>
      <c r="T33" s="44">
        <v>144</v>
      </c>
      <c r="U33" s="85">
        <f>3*3*(48+24+24)/6</f>
        <v>144</v>
      </c>
      <c r="V33" s="26">
        <f t="shared" si="2"/>
        <v>151.20000000000002</v>
      </c>
    </row>
    <row r="34" spans="1:22" s="26" customFormat="1" x14ac:dyDescent="0.25">
      <c r="A34" s="22" t="s">
        <v>17</v>
      </c>
      <c r="B34" s="50" t="s">
        <v>202</v>
      </c>
      <c r="C34" s="22" t="s">
        <v>59</v>
      </c>
      <c r="D34" s="22" t="s">
        <v>233</v>
      </c>
      <c r="E34" s="22" t="s">
        <v>19</v>
      </c>
      <c r="F34" s="22" t="s">
        <v>19</v>
      </c>
      <c r="G34" s="6">
        <f t="shared" si="0"/>
        <v>246</v>
      </c>
      <c r="H34" s="24" t="s">
        <v>20</v>
      </c>
      <c r="I34" s="25">
        <v>6000</v>
      </c>
      <c r="J34" s="25">
        <v>39</v>
      </c>
      <c r="K34" s="25">
        <v>6000</v>
      </c>
      <c r="L34" s="90">
        <f t="shared" si="1"/>
        <v>41</v>
      </c>
      <c r="M34" s="25"/>
      <c r="N34" s="25"/>
      <c r="T34" s="44">
        <v>39</v>
      </c>
      <c r="U34" s="85">
        <f>2*1.189*(48+24+24)/6</f>
        <v>38.048000000000002</v>
      </c>
      <c r="V34" s="26">
        <f t="shared" si="2"/>
        <v>40.950000000000003</v>
      </c>
    </row>
    <row r="35" spans="1:22" s="26" customFormat="1" x14ac:dyDescent="0.25">
      <c r="A35" s="22" t="s">
        <v>17</v>
      </c>
      <c r="B35" s="50" t="s">
        <v>201</v>
      </c>
      <c r="C35" s="22" t="s">
        <v>59</v>
      </c>
      <c r="D35" s="22" t="s">
        <v>233</v>
      </c>
      <c r="E35" s="22" t="s">
        <v>19</v>
      </c>
      <c r="F35" s="22" t="s">
        <v>19</v>
      </c>
      <c r="G35" s="6">
        <f t="shared" si="0"/>
        <v>246</v>
      </c>
      <c r="H35" s="24" t="s">
        <v>20</v>
      </c>
      <c r="I35" s="25">
        <v>6000</v>
      </c>
      <c r="J35" s="25">
        <v>39</v>
      </c>
      <c r="K35" s="25">
        <v>6000</v>
      </c>
      <c r="L35" s="90">
        <f t="shared" si="1"/>
        <v>41</v>
      </c>
      <c r="M35" s="25"/>
      <c r="N35" s="25"/>
      <c r="T35" s="45">
        <v>39</v>
      </c>
      <c r="U35" s="86">
        <f>U34</f>
        <v>38.048000000000002</v>
      </c>
      <c r="V35" s="26">
        <f t="shared" si="2"/>
        <v>40.950000000000003</v>
      </c>
    </row>
    <row r="36" spans="1:22" x14ac:dyDescent="0.25">
      <c r="A36" s="5" t="s">
        <v>17</v>
      </c>
      <c r="B36" s="5" t="s">
        <v>60</v>
      </c>
      <c r="C36" s="5" t="s">
        <v>61</v>
      </c>
      <c r="D36" s="5" t="s">
        <v>233</v>
      </c>
      <c r="E36" s="5" t="s">
        <v>19</v>
      </c>
      <c r="F36" s="5" t="s">
        <v>19</v>
      </c>
      <c r="G36" s="6">
        <f t="shared" si="0"/>
        <v>36</v>
      </c>
      <c r="H36" s="7" t="s">
        <v>20</v>
      </c>
      <c r="I36" s="8">
        <v>6000</v>
      </c>
      <c r="J36" s="8">
        <v>5</v>
      </c>
      <c r="K36" s="8">
        <v>6000</v>
      </c>
      <c r="L36" s="90">
        <f t="shared" si="1"/>
        <v>6</v>
      </c>
      <c r="M36" s="8">
        <v>0.628</v>
      </c>
      <c r="N36" s="8">
        <v>18.84</v>
      </c>
      <c r="T36" s="44">
        <v>5</v>
      </c>
      <c r="U36" s="85">
        <f>1.145*24/6</f>
        <v>4.58</v>
      </c>
      <c r="V36" s="26">
        <f t="shared" si="2"/>
        <v>5.25</v>
      </c>
    </row>
    <row r="37" spans="1:22" x14ac:dyDescent="0.25">
      <c r="A37" s="5" t="s">
        <v>17</v>
      </c>
      <c r="B37" s="5" t="s">
        <v>62</v>
      </c>
      <c r="C37" s="5" t="s">
        <v>63</v>
      </c>
      <c r="D37" s="5" t="s">
        <v>233</v>
      </c>
      <c r="E37" s="5" t="s">
        <v>19</v>
      </c>
      <c r="F37" s="5" t="s">
        <v>19</v>
      </c>
      <c r="G37" s="6">
        <f t="shared" si="0"/>
        <v>78</v>
      </c>
      <c r="H37" s="7" t="s">
        <v>20</v>
      </c>
      <c r="I37" s="8">
        <v>6000</v>
      </c>
      <c r="J37" s="8">
        <v>12</v>
      </c>
      <c r="K37" s="8">
        <v>6000</v>
      </c>
      <c r="L37" s="90">
        <f t="shared" si="1"/>
        <v>13</v>
      </c>
      <c r="M37" s="39">
        <v>2.0659999999999998</v>
      </c>
      <c r="N37" s="39">
        <v>148.75200000000001</v>
      </c>
      <c r="T37" s="44">
        <v>12</v>
      </c>
      <c r="U37" s="85">
        <v>12</v>
      </c>
      <c r="V37" s="26">
        <f t="shared" si="2"/>
        <v>12.600000000000001</v>
      </c>
    </row>
    <row r="38" spans="1:22" x14ac:dyDescent="0.25">
      <c r="A38" s="5" t="s">
        <v>17</v>
      </c>
      <c r="B38" s="50" t="s">
        <v>190</v>
      </c>
      <c r="C38" s="9" t="s">
        <v>203</v>
      </c>
      <c r="D38" s="22" t="s">
        <v>47</v>
      </c>
      <c r="E38" s="22" t="s">
        <v>47</v>
      </c>
      <c r="F38" s="22" t="s">
        <v>47</v>
      </c>
      <c r="G38" s="6">
        <f t="shared" si="0"/>
        <v>372</v>
      </c>
      <c r="H38" s="49" t="s">
        <v>20</v>
      </c>
      <c r="I38" s="56">
        <v>6000</v>
      </c>
      <c r="J38" s="57">
        <v>72</v>
      </c>
      <c r="K38" s="56">
        <v>6000</v>
      </c>
      <c r="L38" s="90">
        <f t="shared" si="1"/>
        <v>62</v>
      </c>
      <c r="M38" s="81"/>
      <c r="N38" s="81"/>
      <c r="O38" s="47"/>
      <c r="T38" s="44">
        <v>72</v>
      </c>
      <c r="U38" s="86">
        <f>(0.11*10*96+2.55*96)/6</f>
        <v>58.4</v>
      </c>
      <c r="V38" s="26">
        <f>U38*1.05</f>
        <v>61.32</v>
      </c>
    </row>
    <row r="39" spans="1:22" x14ac:dyDescent="0.25">
      <c r="A39" s="5" t="s">
        <v>17</v>
      </c>
      <c r="B39" s="50" t="s">
        <v>204</v>
      </c>
      <c r="C39" s="9" t="s">
        <v>203</v>
      </c>
      <c r="D39" s="9" t="s">
        <v>47</v>
      </c>
      <c r="E39" s="9" t="s">
        <v>47</v>
      </c>
      <c r="F39" s="9" t="s">
        <v>47</v>
      </c>
      <c r="G39" s="6">
        <f t="shared" si="0"/>
        <v>6</v>
      </c>
      <c r="H39" s="49" t="s">
        <v>20</v>
      </c>
      <c r="I39" s="81">
        <v>6000</v>
      </c>
      <c r="J39" s="81">
        <v>2</v>
      </c>
      <c r="K39" s="81">
        <v>6000</v>
      </c>
      <c r="L39" s="90">
        <f t="shared" si="1"/>
        <v>1</v>
      </c>
      <c r="M39" s="81"/>
      <c r="N39" s="81"/>
      <c r="O39" s="47"/>
      <c r="T39" s="44">
        <v>2</v>
      </c>
      <c r="U39" s="86">
        <f>0.11*2*24/6</f>
        <v>0.88</v>
      </c>
      <c r="V39" s="26">
        <f t="shared" ref="V39:V40" si="3">U39*1.05</f>
        <v>0.92400000000000004</v>
      </c>
    </row>
    <row r="40" spans="1:22" x14ac:dyDescent="0.25">
      <c r="A40" s="5" t="s">
        <v>17</v>
      </c>
      <c r="B40" s="50" t="s">
        <v>205</v>
      </c>
      <c r="C40" s="9" t="s">
        <v>203</v>
      </c>
      <c r="D40" s="9" t="s">
        <v>47</v>
      </c>
      <c r="E40" s="9" t="s">
        <v>47</v>
      </c>
      <c r="F40" s="9" t="s">
        <v>47</v>
      </c>
      <c r="G40" s="6">
        <f t="shared" si="0"/>
        <v>72</v>
      </c>
      <c r="H40" s="49" t="s">
        <v>20</v>
      </c>
      <c r="I40" s="81">
        <v>6000</v>
      </c>
      <c r="J40" s="81">
        <v>30</v>
      </c>
      <c r="K40" s="81">
        <v>6000</v>
      </c>
      <c r="L40" s="90">
        <f t="shared" si="1"/>
        <v>12</v>
      </c>
      <c r="M40" s="81"/>
      <c r="N40" s="81"/>
      <c r="O40" s="47"/>
      <c r="T40" s="44">
        <v>30</v>
      </c>
      <c r="U40" s="86">
        <f>0.11*8*72/6</f>
        <v>10.56</v>
      </c>
      <c r="V40" s="26">
        <f t="shared" si="3"/>
        <v>11.088000000000001</v>
      </c>
    </row>
    <row r="41" spans="1:22" x14ac:dyDescent="0.25">
      <c r="A41" s="211" t="s">
        <v>177</v>
      </c>
      <c r="B41" s="212"/>
      <c r="C41" s="32"/>
      <c r="D41" s="32"/>
      <c r="E41" s="32"/>
      <c r="F41" s="32"/>
      <c r="G41" s="33"/>
      <c r="H41" s="34"/>
      <c r="I41" s="35"/>
      <c r="J41" s="35"/>
      <c r="K41" s="35"/>
      <c r="L41" s="90"/>
      <c r="M41" s="35"/>
      <c r="N41" s="35"/>
      <c r="O41" s="43"/>
      <c r="P41" s="43"/>
      <c r="Q41" s="43"/>
      <c r="R41" s="43"/>
      <c r="S41" s="43"/>
      <c r="T41" s="44"/>
      <c r="U41" s="85"/>
    </row>
    <row r="42" spans="1:22" x14ac:dyDescent="0.25">
      <c r="A42" s="5" t="s">
        <v>17</v>
      </c>
      <c r="B42" s="52" t="s">
        <v>178</v>
      </c>
      <c r="C42" s="32" t="s">
        <v>179</v>
      </c>
      <c r="D42" s="5" t="s">
        <v>233</v>
      </c>
      <c r="E42" s="5" t="s">
        <v>19</v>
      </c>
      <c r="F42" s="5" t="s">
        <v>19</v>
      </c>
      <c r="G42" s="33">
        <f>L42*6</f>
        <v>564</v>
      </c>
      <c r="H42" s="7" t="s">
        <v>20</v>
      </c>
      <c r="I42" s="8">
        <v>6000</v>
      </c>
      <c r="J42" s="35"/>
      <c r="K42" s="35">
        <v>6000</v>
      </c>
      <c r="L42" s="90">
        <f t="shared" si="1"/>
        <v>94</v>
      </c>
      <c r="M42" s="35"/>
      <c r="N42" s="35"/>
      <c r="O42" s="43">
        <v>29</v>
      </c>
      <c r="P42" s="43">
        <v>6</v>
      </c>
      <c r="Q42" s="43">
        <v>6</v>
      </c>
      <c r="R42" s="45">
        <v>12</v>
      </c>
      <c r="S42" s="45">
        <v>36</v>
      </c>
      <c r="T42" s="44">
        <v>89</v>
      </c>
      <c r="U42" s="85">
        <f>(3*(0.938*72+0.974*48+0.829*24+0.924*24))/6</f>
        <v>78.180000000000007</v>
      </c>
      <c r="V42" s="26">
        <f>T42*1.05</f>
        <v>93.45</v>
      </c>
    </row>
    <row r="43" spans="1:22" x14ac:dyDescent="0.25">
      <c r="A43" s="5" t="s">
        <v>17</v>
      </c>
      <c r="B43" s="52" t="s">
        <v>180</v>
      </c>
      <c r="C43" s="32" t="s">
        <v>181</v>
      </c>
      <c r="D43" s="5" t="s">
        <v>233</v>
      </c>
      <c r="E43" s="5" t="s">
        <v>19</v>
      </c>
      <c r="F43" s="5" t="s">
        <v>19</v>
      </c>
      <c r="G43" s="33">
        <f t="shared" ref="G43:G46" si="4">L43*6</f>
        <v>462</v>
      </c>
      <c r="H43" s="7" t="s">
        <v>20</v>
      </c>
      <c r="I43" s="8">
        <v>6000</v>
      </c>
      <c r="J43" s="35"/>
      <c r="K43" s="35">
        <v>6000</v>
      </c>
      <c r="L43" s="90">
        <f t="shared" si="1"/>
        <v>77</v>
      </c>
      <c r="M43" s="35"/>
      <c r="N43" s="35"/>
      <c r="O43" s="43">
        <v>23.7</v>
      </c>
      <c r="P43" s="43">
        <v>5</v>
      </c>
      <c r="Q43" s="43">
        <v>5</v>
      </c>
      <c r="R43" s="45">
        <v>10</v>
      </c>
      <c r="S43" s="45">
        <v>29.3</v>
      </c>
      <c r="T43" s="44">
        <v>73</v>
      </c>
      <c r="U43" s="85">
        <f>(2*(0.938*72+0.974*48+0.829*24+0.924*24)+2*0.222*168)/6</f>
        <v>64.552000000000007</v>
      </c>
      <c r="V43" s="26">
        <f t="shared" ref="V43:V59" si="5">T43*1.05</f>
        <v>76.650000000000006</v>
      </c>
    </row>
    <row r="44" spans="1:22" x14ac:dyDescent="0.25">
      <c r="A44" s="5" t="s">
        <v>17</v>
      </c>
      <c r="B44" s="52" t="s">
        <v>183</v>
      </c>
      <c r="C44" s="32" t="s">
        <v>182</v>
      </c>
      <c r="D44" s="5" t="s">
        <v>233</v>
      </c>
      <c r="E44" s="5" t="s">
        <v>19</v>
      </c>
      <c r="F44" s="5" t="s">
        <v>19</v>
      </c>
      <c r="G44" s="33">
        <f t="shared" si="4"/>
        <v>114</v>
      </c>
      <c r="H44" s="7" t="s">
        <v>20</v>
      </c>
      <c r="I44" s="8">
        <v>6000</v>
      </c>
      <c r="J44" s="35"/>
      <c r="K44" s="35">
        <v>6000</v>
      </c>
      <c r="L44" s="90">
        <f t="shared" si="1"/>
        <v>19</v>
      </c>
      <c r="M44" s="35"/>
      <c r="N44" s="35"/>
      <c r="O44" s="43">
        <v>10</v>
      </c>
      <c r="P44" s="43">
        <v>2</v>
      </c>
      <c r="Q44" s="43">
        <v>2</v>
      </c>
      <c r="R44" s="45">
        <v>4</v>
      </c>
      <c r="S44" s="43"/>
      <c r="T44" s="44">
        <v>18</v>
      </c>
      <c r="U44" s="85">
        <f>(0.974*48+0.829*24+0.924*24)/6</f>
        <v>14.804</v>
      </c>
      <c r="V44" s="26">
        <f t="shared" si="5"/>
        <v>18.900000000000002</v>
      </c>
    </row>
    <row r="45" spans="1:22" x14ac:dyDescent="0.25">
      <c r="A45" s="36" t="s">
        <v>17</v>
      </c>
      <c r="B45" s="53" t="s">
        <v>44</v>
      </c>
      <c r="C45" s="37" t="s">
        <v>182</v>
      </c>
      <c r="D45" s="36" t="s">
        <v>233</v>
      </c>
      <c r="E45" s="36" t="s">
        <v>19</v>
      </c>
      <c r="F45" s="36" t="s">
        <v>19</v>
      </c>
      <c r="G45" s="33">
        <f t="shared" si="4"/>
        <v>30</v>
      </c>
      <c r="H45" s="38" t="s">
        <v>20</v>
      </c>
      <c r="I45" s="39">
        <v>6000</v>
      </c>
      <c r="J45" s="40"/>
      <c r="K45" s="35">
        <v>6000</v>
      </c>
      <c r="L45" s="90">
        <f t="shared" si="1"/>
        <v>5</v>
      </c>
      <c r="M45" s="40"/>
      <c r="N45" s="35"/>
      <c r="O45" s="45">
        <v>2</v>
      </c>
      <c r="P45" s="43">
        <v>0.5</v>
      </c>
      <c r="Q45" s="43">
        <v>0.5</v>
      </c>
      <c r="R45" s="45">
        <v>1</v>
      </c>
      <c r="S45" s="43"/>
      <c r="T45" s="44">
        <v>4</v>
      </c>
      <c r="U45" s="85">
        <f>0.182*96/6</f>
        <v>2.9120000000000004</v>
      </c>
      <c r="V45" s="26">
        <f t="shared" si="5"/>
        <v>4.2</v>
      </c>
    </row>
    <row r="46" spans="1:22" x14ac:dyDescent="0.25">
      <c r="A46" s="32" t="s">
        <v>17</v>
      </c>
      <c r="B46" s="52" t="s">
        <v>184</v>
      </c>
      <c r="C46" s="32" t="s">
        <v>31</v>
      </c>
      <c r="D46" s="32" t="s">
        <v>233</v>
      </c>
      <c r="E46" s="32" t="s">
        <v>19</v>
      </c>
      <c r="F46" s="32" t="s">
        <v>19</v>
      </c>
      <c r="G46" s="33">
        <f t="shared" si="4"/>
        <v>78</v>
      </c>
      <c r="H46" s="34" t="s">
        <v>20</v>
      </c>
      <c r="I46" s="35">
        <v>6000</v>
      </c>
      <c r="J46" s="35"/>
      <c r="K46" s="35">
        <v>6000</v>
      </c>
      <c r="L46" s="90">
        <f t="shared" si="1"/>
        <v>13</v>
      </c>
      <c r="M46" s="35"/>
      <c r="N46" s="35"/>
      <c r="O46" s="43"/>
      <c r="P46" s="43"/>
      <c r="Q46" s="43"/>
      <c r="R46" s="43"/>
      <c r="S46" s="43">
        <v>12</v>
      </c>
      <c r="T46" s="44">
        <v>12</v>
      </c>
      <c r="U46" s="85">
        <f>0.938*72/6</f>
        <v>11.256</v>
      </c>
      <c r="V46" s="26">
        <f t="shared" si="5"/>
        <v>12.600000000000001</v>
      </c>
    </row>
    <row r="47" spans="1:22" x14ac:dyDescent="0.25">
      <c r="A47" s="32" t="s">
        <v>88</v>
      </c>
      <c r="B47" s="52" t="s">
        <v>126</v>
      </c>
      <c r="C47" s="41" t="s">
        <v>127</v>
      </c>
      <c r="D47" s="41" t="s">
        <v>67</v>
      </c>
      <c r="E47" s="32"/>
      <c r="F47" s="32"/>
      <c r="G47" s="33"/>
      <c r="H47" s="34" t="s">
        <v>185</v>
      </c>
      <c r="I47" s="35"/>
      <c r="J47" s="35"/>
      <c r="K47" s="35"/>
      <c r="L47" s="90">
        <f t="shared" si="1"/>
        <v>735</v>
      </c>
      <c r="M47" s="35"/>
      <c r="N47" s="35"/>
      <c r="O47" s="43"/>
      <c r="P47" s="43"/>
      <c r="Q47" s="43"/>
      <c r="R47" s="43"/>
      <c r="S47" s="43"/>
      <c r="T47" s="44">
        <v>700</v>
      </c>
      <c r="U47" s="85">
        <f>168*4</f>
        <v>672</v>
      </c>
      <c r="V47" s="26">
        <f t="shared" si="5"/>
        <v>735</v>
      </c>
    </row>
    <row r="48" spans="1:22" x14ac:dyDescent="0.25">
      <c r="A48" s="32" t="s">
        <v>88</v>
      </c>
      <c r="B48" s="52" t="s">
        <v>186</v>
      </c>
      <c r="C48" s="41" t="s">
        <v>127</v>
      </c>
      <c r="D48" s="41" t="s">
        <v>67</v>
      </c>
      <c r="E48" s="32"/>
      <c r="F48" s="32"/>
      <c r="G48" s="33"/>
      <c r="H48" s="34" t="s">
        <v>185</v>
      </c>
      <c r="I48" s="35"/>
      <c r="J48" s="35"/>
      <c r="K48" s="35"/>
      <c r="L48" s="90">
        <f t="shared" si="1"/>
        <v>2415</v>
      </c>
      <c r="M48" s="35"/>
      <c r="N48" s="35"/>
      <c r="O48" s="43"/>
      <c r="P48" s="43"/>
      <c r="Q48" s="43"/>
      <c r="R48" s="43"/>
      <c r="S48" s="43">
        <v>288</v>
      </c>
      <c r="T48" s="44">
        <v>2300</v>
      </c>
      <c r="U48" s="85">
        <f>4*3*168</f>
        <v>2016</v>
      </c>
      <c r="V48" s="26">
        <f t="shared" si="5"/>
        <v>2415</v>
      </c>
    </row>
    <row r="49" spans="1:23" x14ac:dyDescent="0.25">
      <c r="A49" s="32" t="s">
        <v>88</v>
      </c>
      <c r="B49" s="52" t="s">
        <v>187</v>
      </c>
      <c r="C49" s="41" t="s">
        <v>188</v>
      </c>
      <c r="D49" s="41" t="s">
        <v>67</v>
      </c>
      <c r="E49" s="32"/>
      <c r="F49" s="32"/>
      <c r="G49" s="33"/>
      <c r="H49" s="34" t="s">
        <v>185</v>
      </c>
      <c r="I49" s="35"/>
      <c r="J49" s="35"/>
      <c r="K49" s="35"/>
      <c r="L49" s="90">
        <f t="shared" si="1"/>
        <v>1785</v>
      </c>
      <c r="M49" s="35"/>
      <c r="N49" s="35"/>
      <c r="O49" s="43"/>
      <c r="P49" s="43"/>
      <c r="Q49" s="43"/>
      <c r="R49" s="43"/>
      <c r="S49" s="43"/>
      <c r="T49" s="44">
        <v>1700</v>
      </c>
      <c r="U49" s="85" t="s">
        <v>224</v>
      </c>
      <c r="V49" s="26">
        <f t="shared" si="5"/>
        <v>1785</v>
      </c>
    </row>
    <row r="50" spans="1:23" x14ac:dyDescent="0.25">
      <c r="A50" s="32" t="s">
        <v>88</v>
      </c>
      <c r="B50" s="52" t="s">
        <v>120</v>
      </c>
      <c r="C50" s="41" t="s">
        <v>121</v>
      </c>
      <c r="D50" s="41" t="s">
        <v>67</v>
      </c>
      <c r="E50" s="32"/>
      <c r="F50" s="32"/>
      <c r="G50" s="33"/>
      <c r="H50" s="34" t="s">
        <v>185</v>
      </c>
      <c r="I50" s="35"/>
      <c r="J50" s="35"/>
      <c r="K50" s="35"/>
      <c r="L50" s="90">
        <f t="shared" si="1"/>
        <v>630</v>
      </c>
      <c r="M50" s="35"/>
      <c r="N50" s="35"/>
      <c r="O50" s="43">
        <v>288</v>
      </c>
      <c r="P50" s="43">
        <v>72</v>
      </c>
      <c r="Q50" s="43">
        <v>72</v>
      </c>
      <c r="R50" s="43">
        <v>144</v>
      </c>
      <c r="S50" s="43"/>
      <c r="T50" s="44">
        <v>600</v>
      </c>
      <c r="U50" s="85" t="s">
        <v>225</v>
      </c>
      <c r="V50" s="26">
        <f t="shared" si="5"/>
        <v>630</v>
      </c>
    </row>
    <row r="51" spans="1:23" x14ac:dyDescent="0.2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T51" s="27"/>
      <c r="U51" s="27"/>
    </row>
    <row r="52" spans="1:23" x14ac:dyDescent="0.25">
      <c r="A52" s="171" t="s">
        <v>64</v>
      </c>
      <c r="B52" s="17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T52" s="27"/>
      <c r="U52" s="27"/>
    </row>
    <row r="53" spans="1:23" x14ac:dyDescent="0.25">
      <c r="A53" s="5" t="s">
        <v>65</v>
      </c>
      <c r="B53" s="50" t="s">
        <v>191</v>
      </c>
      <c r="C53" s="5" t="s">
        <v>66</v>
      </c>
      <c r="D53" s="5" t="s">
        <v>67</v>
      </c>
      <c r="E53" s="5" t="s">
        <v>67</v>
      </c>
      <c r="F53" s="5" t="s">
        <v>67</v>
      </c>
      <c r="G53" s="6">
        <f>L53*6</f>
        <v>36</v>
      </c>
      <c r="H53" s="7" t="s">
        <v>20</v>
      </c>
      <c r="I53" s="8">
        <v>6000</v>
      </c>
      <c r="J53" s="8">
        <v>4</v>
      </c>
      <c r="K53" s="8">
        <v>6000</v>
      </c>
      <c r="L53" s="90">
        <f t="shared" si="1"/>
        <v>6</v>
      </c>
      <c r="M53" s="8">
        <v>0.33</v>
      </c>
      <c r="N53" s="8">
        <v>1.98</v>
      </c>
      <c r="O53" s="48">
        <f>(34+4)*48</f>
        <v>1824</v>
      </c>
      <c r="P53" s="48">
        <f>(34+4)*12</f>
        <v>456</v>
      </c>
      <c r="Q53" s="48">
        <f>(34+4)*12</f>
        <v>456</v>
      </c>
      <c r="R53" s="47">
        <f>(34+4)*24</f>
        <v>912</v>
      </c>
      <c r="S53" s="48">
        <f>(35+4)*72</f>
        <v>2808</v>
      </c>
      <c r="T53" s="55">
        <v>4</v>
      </c>
      <c r="U53" s="55">
        <f>(48*5+24*6+24*5+72*4)*0.04/6</f>
        <v>5.28</v>
      </c>
      <c r="V53" s="26">
        <f>U53*1.05</f>
        <v>5.5440000000000005</v>
      </c>
    </row>
    <row r="54" spans="1:23" x14ac:dyDescent="0.25">
      <c r="A54" s="73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91"/>
      <c r="M54" s="75"/>
      <c r="N54" s="75"/>
      <c r="T54" s="27"/>
      <c r="U54" s="27"/>
    </row>
    <row r="55" spans="1:23" ht="15" customHeight="1" x14ac:dyDescent="0.25">
      <c r="A55" s="171" t="s">
        <v>68</v>
      </c>
      <c r="B55" s="172"/>
      <c r="C55" s="13"/>
      <c r="D55" s="13"/>
      <c r="E55" s="13"/>
      <c r="F55" s="13"/>
      <c r="G55" s="13"/>
      <c r="H55" s="13"/>
      <c r="I55" s="94"/>
      <c r="J55" s="94"/>
      <c r="K55" s="94"/>
      <c r="L55" s="95"/>
      <c r="M55" s="13"/>
      <c r="N55" s="13"/>
      <c r="T55" s="27"/>
      <c r="U55" s="27"/>
    </row>
    <row r="56" spans="1:23" x14ac:dyDescent="0.25">
      <c r="A56" s="5" t="s">
        <v>69</v>
      </c>
      <c r="B56" s="9" t="s">
        <v>70</v>
      </c>
      <c r="C56" s="9" t="s">
        <v>71</v>
      </c>
      <c r="D56" s="208" t="s">
        <v>72</v>
      </c>
      <c r="E56" s="209"/>
      <c r="F56" s="210"/>
      <c r="G56" s="10"/>
      <c r="H56" s="49" t="s">
        <v>73</v>
      </c>
      <c r="I56" s="81"/>
      <c r="J56" s="81"/>
      <c r="K56" s="81"/>
      <c r="L56" s="100">
        <f>T56+5</f>
        <v>605</v>
      </c>
      <c r="M56" s="71"/>
      <c r="N56" s="72"/>
      <c r="T56" s="44">
        <v>600</v>
      </c>
      <c r="U56" s="44">
        <f>4*48+4*24+4*24+3*72</f>
        <v>600</v>
      </c>
      <c r="V56" s="26">
        <f t="shared" si="5"/>
        <v>630</v>
      </c>
    </row>
    <row r="57" spans="1:23" x14ac:dyDescent="0.25">
      <c r="A57" s="5" t="s">
        <v>69</v>
      </c>
      <c r="B57" s="9" t="s">
        <v>74</v>
      </c>
      <c r="C57" s="9" t="s">
        <v>75</v>
      </c>
      <c r="D57" s="208" t="s">
        <v>72</v>
      </c>
      <c r="E57" s="209"/>
      <c r="F57" s="210"/>
      <c r="G57" s="10"/>
      <c r="H57" s="49" t="s">
        <v>73</v>
      </c>
      <c r="I57" s="81"/>
      <c r="J57" s="81"/>
      <c r="K57" s="81"/>
      <c r="L57" s="100">
        <f t="shared" ref="L57:L59" si="6">T57+5</f>
        <v>605</v>
      </c>
      <c r="M57" s="71"/>
      <c r="N57" s="72"/>
      <c r="T57" s="44">
        <v>600</v>
      </c>
      <c r="U57" s="44">
        <f>U56</f>
        <v>600</v>
      </c>
      <c r="V57" s="26">
        <f t="shared" si="5"/>
        <v>630</v>
      </c>
    </row>
    <row r="58" spans="1:23" x14ac:dyDescent="0.25">
      <c r="A58" s="5" t="s">
        <v>69</v>
      </c>
      <c r="B58" s="9" t="s">
        <v>76</v>
      </c>
      <c r="C58" s="9" t="s">
        <v>77</v>
      </c>
      <c r="D58" s="208" t="s">
        <v>72</v>
      </c>
      <c r="E58" s="209"/>
      <c r="F58" s="210"/>
      <c r="G58" s="10"/>
      <c r="H58" s="49" t="s">
        <v>73</v>
      </c>
      <c r="I58" s="81"/>
      <c r="J58" s="81"/>
      <c r="K58" s="81"/>
      <c r="L58" s="100">
        <f t="shared" si="6"/>
        <v>1205</v>
      </c>
      <c r="M58" s="71"/>
      <c r="N58" s="72"/>
      <c r="T58" s="44">
        <v>1200</v>
      </c>
      <c r="U58" s="44">
        <f>8*96+6*72</f>
        <v>1200</v>
      </c>
      <c r="V58" s="26">
        <f t="shared" si="5"/>
        <v>1260</v>
      </c>
    </row>
    <row r="59" spans="1:23" ht="23.25" x14ac:dyDescent="0.25">
      <c r="A59" s="5" t="s">
        <v>69</v>
      </c>
      <c r="B59" s="9" t="s">
        <v>78</v>
      </c>
      <c r="C59" s="9" t="s">
        <v>79</v>
      </c>
      <c r="D59" s="208" t="s">
        <v>72</v>
      </c>
      <c r="E59" s="209"/>
      <c r="F59" s="210"/>
      <c r="G59" s="10"/>
      <c r="H59" s="49" t="s">
        <v>80</v>
      </c>
      <c r="I59" s="81"/>
      <c r="J59" s="81"/>
      <c r="K59" s="81"/>
      <c r="L59" s="100">
        <f t="shared" si="6"/>
        <v>605</v>
      </c>
      <c r="M59" s="71"/>
      <c r="N59" s="72"/>
      <c r="T59" s="44">
        <v>600</v>
      </c>
      <c r="U59" s="44"/>
      <c r="V59" s="26">
        <f t="shared" si="5"/>
        <v>630</v>
      </c>
    </row>
    <row r="60" spans="1:23" x14ac:dyDescent="0.25">
      <c r="A60" s="73"/>
      <c r="B60" s="75"/>
      <c r="C60" s="75"/>
      <c r="D60" s="75"/>
      <c r="E60" s="75"/>
      <c r="F60" s="75"/>
      <c r="G60" s="75"/>
      <c r="H60" s="75"/>
      <c r="I60" s="31"/>
      <c r="J60" s="31"/>
      <c r="K60" s="31"/>
      <c r="L60" s="93"/>
      <c r="M60" s="75"/>
      <c r="N60" s="75"/>
      <c r="T60" s="26"/>
      <c r="U60" s="27"/>
    </row>
    <row r="61" spans="1:23" ht="15" customHeight="1" x14ac:dyDescent="0.25">
      <c r="A61" s="171" t="s">
        <v>81</v>
      </c>
      <c r="B61" s="172"/>
      <c r="C61" s="13"/>
      <c r="D61" s="13"/>
      <c r="E61" s="13"/>
      <c r="F61" s="13"/>
      <c r="G61" s="13"/>
      <c r="H61" s="13"/>
      <c r="I61" s="94"/>
      <c r="J61" s="94"/>
      <c r="K61" s="94"/>
      <c r="L61" s="95"/>
      <c r="M61" s="13"/>
      <c r="N61" s="13"/>
      <c r="T61" s="26"/>
      <c r="U61" s="27"/>
    </row>
    <row r="62" spans="1:23" x14ac:dyDescent="0.25">
      <c r="A62" s="5" t="s">
        <v>69</v>
      </c>
      <c r="B62" s="9">
        <v>2250</v>
      </c>
      <c r="C62" s="9" t="s">
        <v>82</v>
      </c>
      <c r="D62" s="22" t="s">
        <v>233</v>
      </c>
      <c r="E62" s="22"/>
      <c r="F62" s="22"/>
      <c r="G62" s="10"/>
      <c r="H62" s="70" t="s">
        <v>73</v>
      </c>
      <c r="I62" s="81"/>
      <c r="J62" s="81"/>
      <c r="K62" s="81"/>
      <c r="L62" s="100">
        <f>T62+1</f>
        <v>25</v>
      </c>
      <c r="M62" s="71"/>
      <c r="N62" s="72"/>
      <c r="T62" s="44">
        <v>24</v>
      </c>
      <c r="U62" s="44">
        <v>24</v>
      </c>
    </row>
    <row r="63" spans="1:23" x14ac:dyDescent="0.25">
      <c r="A63" s="5" t="s">
        <v>69</v>
      </c>
      <c r="B63" s="9" t="s">
        <v>83</v>
      </c>
      <c r="C63" s="9" t="s">
        <v>84</v>
      </c>
      <c r="D63" s="22" t="s">
        <v>233</v>
      </c>
      <c r="E63" s="22"/>
      <c r="F63" s="22"/>
      <c r="G63" s="10"/>
      <c r="H63" s="70" t="s">
        <v>73</v>
      </c>
      <c r="I63" s="81"/>
      <c r="J63" s="81"/>
      <c r="K63" s="81"/>
      <c r="L63" s="100">
        <f>T63+2</f>
        <v>74</v>
      </c>
      <c r="M63" s="71"/>
      <c r="N63" s="72"/>
      <c r="T63" s="44">
        <v>72</v>
      </c>
      <c r="U63" s="44">
        <f>24*3</f>
        <v>72</v>
      </c>
      <c r="W63" s="66"/>
    </row>
    <row r="64" spans="1:23" x14ac:dyDescent="0.25">
      <c r="A64" s="5" t="s">
        <v>69</v>
      </c>
      <c r="B64" s="9" t="s">
        <v>85</v>
      </c>
      <c r="C64" s="9" t="s">
        <v>86</v>
      </c>
      <c r="D64" s="208" t="s">
        <v>72</v>
      </c>
      <c r="E64" s="209"/>
      <c r="F64" s="210"/>
      <c r="G64" s="10"/>
      <c r="H64" s="70" t="s">
        <v>80</v>
      </c>
      <c r="I64" s="81"/>
      <c r="J64" s="81"/>
      <c r="K64" s="81"/>
      <c r="L64" s="100">
        <f t="shared" ref="L64" si="7">T64+1</f>
        <v>25</v>
      </c>
      <c r="M64" s="71"/>
      <c r="N64" s="72"/>
      <c r="T64" s="44">
        <v>24</v>
      </c>
      <c r="U64" s="44">
        <v>24</v>
      </c>
      <c r="W64" s="66"/>
    </row>
    <row r="65" spans="1:22" x14ac:dyDescent="0.25">
      <c r="A65" s="73"/>
      <c r="B65" s="75"/>
      <c r="C65" s="75"/>
      <c r="D65" s="75"/>
      <c r="E65" s="75"/>
      <c r="F65" s="75"/>
      <c r="G65" s="75"/>
      <c r="H65" s="75"/>
      <c r="I65" s="31"/>
      <c r="J65" s="31"/>
      <c r="K65" s="31"/>
      <c r="L65" s="93"/>
      <c r="M65" s="75"/>
      <c r="N65" s="75"/>
      <c r="T65" s="27"/>
      <c r="U65" s="27"/>
    </row>
    <row r="66" spans="1:22" ht="15" customHeight="1" x14ac:dyDescent="0.25">
      <c r="A66" s="171" t="s">
        <v>87</v>
      </c>
      <c r="B66" s="172"/>
      <c r="C66" s="13"/>
      <c r="D66" s="13"/>
      <c r="E66" s="13"/>
      <c r="F66" s="13"/>
      <c r="G66" s="13"/>
      <c r="H66" s="13"/>
      <c r="I66" s="94"/>
      <c r="J66" s="94"/>
      <c r="K66" s="94"/>
      <c r="L66" s="95"/>
      <c r="M66" s="13"/>
      <c r="N66" s="13"/>
      <c r="T66" s="27"/>
      <c r="U66" s="27"/>
    </row>
    <row r="67" spans="1:22" x14ac:dyDescent="0.25">
      <c r="A67" s="5" t="s">
        <v>88</v>
      </c>
      <c r="B67" s="9" t="s">
        <v>89</v>
      </c>
      <c r="C67" s="9" t="s">
        <v>90</v>
      </c>
      <c r="D67" s="9" t="s">
        <v>67</v>
      </c>
      <c r="E67" s="213"/>
      <c r="F67" s="214"/>
      <c r="G67" s="10"/>
      <c r="H67" s="49" t="s">
        <v>73</v>
      </c>
      <c r="I67" s="81"/>
      <c r="J67" s="81"/>
      <c r="K67" s="81"/>
      <c r="L67" s="100">
        <f>_xlfn.CEILING.MATH(V67)</f>
        <v>4536</v>
      </c>
      <c r="M67" s="71"/>
      <c r="N67" s="72"/>
      <c r="T67" s="44">
        <v>4320</v>
      </c>
      <c r="U67" s="44"/>
      <c r="V67" s="26">
        <f>T67*1.05</f>
        <v>4536</v>
      </c>
    </row>
    <row r="68" spans="1:22" x14ac:dyDescent="0.25">
      <c r="A68" s="5" t="s">
        <v>69</v>
      </c>
      <c r="B68" s="9" t="s">
        <v>91</v>
      </c>
      <c r="C68" s="9" t="s">
        <v>92</v>
      </c>
      <c r="D68" s="9" t="s">
        <v>72</v>
      </c>
      <c r="E68" s="213"/>
      <c r="F68" s="214"/>
      <c r="G68" s="10"/>
      <c r="H68" s="49" t="s">
        <v>93</v>
      </c>
      <c r="I68" s="81"/>
      <c r="J68" s="81"/>
      <c r="K68" s="81"/>
      <c r="L68" s="100">
        <f t="shared" ref="L68:L84" si="8">_xlfn.CEILING.MATH(V68)</f>
        <v>1260</v>
      </c>
      <c r="M68" s="71"/>
      <c r="N68" s="72"/>
      <c r="T68" s="44">
        <v>1200</v>
      </c>
      <c r="U68" s="44"/>
      <c r="V68" s="26">
        <f t="shared" ref="V68:V80" si="9">T68*1.05</f>
        <v>1260</v>
      </c>
    </row>
    <row r="69" spans="1:22" x14ac:dyDescent="0.25">
      <c r="A69" s="5" t="s">
        <v>17</v>
      </c>
      <c r="B69" s="9" t="s">
        <v>94</v>
      </c>
      <c r="C69" s="9" t="s">
        <v>95</v>
      </c>
      <c r="D69" s="9" t="s">
        <v>47</v>
      </c>
      <c r="E69" s="213"/>
      <c r="F69" s="214"/>
      <c r="G69" s="10"/>
      <c r="H69" s="49" t="s">
        <v>73</v>
      </c>
      <c r="I69" s="81"/>
      <c r="J69" s="81"/>
      <c r="K69" s="81"/>
      <c r="L69" s="100">
        <f t="shared" si="8"/>
        <v>303</v>
      </c>
      <c r="M69" s="71"/>
      <c r="N69" s="72"/>
      <c r="T69" s="44">
        <v>288</v>
      </c>
      <c r="U69" s="44">
        <f>4*72</f>
        <v>288</v>
      </c>
      <c r="V69" s="26">
        <f t="shared" si="9"/>
        <v>302.40000000000003</v>
      </c>
    </row>
    <row r="70" spans="1:22" x14ac:dyDescent="0.25">
      <c r="A70" s="5" t="s">
        <v>17</v>
      </c>
      <c r="B70" s="9" t="s">
        <v>96</v>
      </c>
      <c r="C70" s="9" t="s">
        <v>95</v>
      </c>
      <c r="D70" s="9" t="s">
        <v>47</v>
      </c>
      <c r="E70" s="213"/>
      <c r="F70" s="214"/>
      <c r="G70" s="10"/>
      <c r="H70" s="49" t="s">
        <v>73</v>
      </c>
      <c r="I70" s="81"/>
      <c r="J70" s="81"/>
      <c r="K70" s="81"/>
      <c r="L70" s="100">
        <f t="shared" si="8"/>
        <v>1664</v>
      </c>
      <c r="M70" s="71"/>
      <c r="N70" s="72"/>
      <c r="T70" s="44">
        <v>1584</v>
      </c>
      <c r="U70" s="44">
        <f>22*72</f>
        <v>1584</v>
      </c>
      <c r="V70" s="26">
        <f t="shared" si="9"/>
        <v>1663.2</v>
      </c>
    </row>
    <row r="71" spans="1:22" x14ac:dyDescent="0.25">
      <c r="A71" s="5" t="s">
        <v>17</v>
      </c>
      <c r="B71" s="9" t="s">
        <v>97</v>
      </c>
      <c r="C71" s="9" t="s">
        <v>98</v>
      </c>
      <c r="D71" s="9" t="s">
        <v>47</v>
      </c>
      <c r="E71" s="213"/>
      <c r="F71" s="214"/>
      <c r="G71" s="10"/>
      <c r="H71" s="49" t="s">
        <v>73</v>
      </c>
      <c r="I71" s="81"/>
      <c r="J71" s="81"/>
      <c r="K71" s="81"/>
      <c r="L71" s="100">
        <f t="shared" si="8"/>
        <v>101</v>
      </c>
      <c r="M71" s="71"/>
      <c r="N71" s="72"/>
      <c r="O71" s="26"/>
      <c r="T71" s="44">
        <v>96</v>
      </c>
      <c r="U71" s="44">
        <f>24*4</f>
        <v>96</v>
      </c>
      <c r="V71" s="26">
        <f t="shared" si="9"/>
        <v>100.80000000000001</v>
      </c>
    </row>
    <row r="72" spans="1:22" ht="23.25" x14ac:dyDescent="0.25">
      <c r="A72" s="5" t="s">
        <v>17</v>
      </c>
      <c r="B72" s="9" t="s">
        <v>99</v>
      </c>
      <c r="C72" s="9" t="s">
        <v>100</v>
      </c>
      <c r="D72" s="9" t="s">
        <v>47</v>
      </c>
      <c r="E72" s="213"/>
      <c r="F72" s="214"/>
      <c r="G72" s="25"/>
      <c r="H72" s="49" t="s">
        <v>73</v>
      </c>
      <c r="I72" s="81"/>
      <c r="J72" s="81"/>
      <c r="K72" s="81"/>
      <c r="L72" s="100">
        <f t="shared" si="8"/>
        <v>807</v>
      </c>
      <c r="M72" s="71"/>
      <c r="N72" s="72"/>
      <c r="T72" s="44">
        <v>768</v>
      </c>
      <c r="U72" s="44">
        <f>8*96</f>
        <v>768</v>
      </c>
      <c r="V72" s="26">
        <f t="shared" si="9"/>
        <v>806.40000000000009</v>
      </c>
    </row>
    <row r="73" spans="1:22" ht="23.25" x14ac:dyDescent="0.25">
      <c r="A73" s="5" t="s">
        <v>17</v>
      </c>
      <c r="B73" s="9" t="s">
        <v>101</v>
      </c>
      <c r="C73" s="9" t="s">
        <v>100</v>
      </c>
      <c r="D73" s="9" t="s">
        <v>47</v>
      </c>
      <c r="E73" s="213"/>
      <c r="F73" s="214"/>
      <c r="G73" s="25"/>
      <c r="H73" s="49" t="s">
        <v>73</v>
      </c>
      <c r="I73" s="81"/>
      <c r="J73" s="81"/>
      <c r="K73" s="81"/>
      <c r="L73" s="100">
        <f t="shared" si="8"/>
        <v>3075</v>
      </c>
      <c r="M73" s="71"/>
      <c r="N73" s="72"/>
      <c r="T73" s="44">
        <v>2928</v>
      </c>
      <c r="U73" s="44">
        <f>28*96+10*24</f>
        <v>2928</v>
      </c>
      <c r="V73" s="26">
        <f t="shared" si="9"/>
        <v>3074.4</v>
      </c>
    </row>
    <row r="74" spans="1:22" x14ac:dyDescent="0.25">
      <c r="A74" s="73"/>
      <c r="B74" s="75"/>
      <c r="C74" s="75"/>
      <c r="D74" s="75"/>
      <c r="E74" s="75"/>
      <c r="F74" s="75"/>
      <c r="G74" s="75"/>
      <c r="H74" s="75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27"/>
      <c r="U74" s="27"/>
    </row>
    <row r="75" spans="1:22" ht="15" customHeight="1" x14ac:dyDescent="0.25">
      <c r="A75" s="171" t="s">
        <v>102</v>
      </c>
      <c r="B75" s="172"/>
      <c r="C75" s="13"/>
      <c r="D75" s="13"/>
      <c r="E75" s="13"/>
      <c r="F75" s="13"/>
      <c r="G75" s="13"/>
      <c r="H75" s="13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27"/>
      <c r="U75" s="27"/>
    </row>
    <row r="76" spans="1:22" x14ac:dyDescent="0.25">
      <c r="A76" s="5" t="s">
        <v>88</v>
      </c>
      <c r="B76" s="50" t="s">
        <v>103</v>
      </c>
      <c r="C76" s="9" t="s">
        <v>192</v>
      </c>
      <c r="D76" s="9" t="s">
        <v>67</v>
      </c>
      <c r="E76" s="213"/>
      <c r="F76" s="214"/>
      <c r="G76" s="10"/>
      <c r="H76" s="49" t="s">
        <v>73</v>
      </c>
      <c r="I76" s="81"/>
      <c r="J76" s="81"/>
      <c r="K76" s="81"/>
      <c r="L76" s="100">
        <f t="shared" si="8"/>
        <v>26</v>
      </c>
      <c r="M76" s="81"/>
      <c r="N76" s="81"/>
      <c r="O76" s="47"/>
      <c r="T76" s="44">
        <v>24</v>
      </c>
      <c r="U76" s="44">
        <v>24</v>
      </c>
      <c r="V76" s="26">
        <f t="shared" si="9"/>
        <v>25.200000000000003</v>
      </c>
    </row>
    <row r="77" spans="1:22" x14ac:dyDescent="0.25">
      <c r="A77" s="5" t="s">
        <v>88</v>
      </c>
      <c r="B77" s="50" t="s">
        <v>104</v>
      </c>
      <c r="C77" s="9" t="s">
        <v>193</v>
      </c>
      <c r="D77" s="9" t="s">
        <v>67</v>
      </c>
      <c r="E77" s="213"/>
      <c r="F77" s="214"/>
      <c r="G77" s="10"/>
      <c r="H77" s="49" t="s">
        <v>73</v>
      </c>
      <c r="I77" s="81"/>
      <c r="J77" s="81"/>
      <c r="K77" s="81"/>
      <c r="L77" s="100">
        <f t="shared" si="8"/>
        <v>504</v>
      </c>
      <c r="M77" s="81"/>
      <c r="N77" s="81"/>
      <c r="O77" s="47"/>
      <c r="T77" s="44">
        <v>480</v>
      </c>
      <c r="U77" s="44">
        <f>5*48+5*24+5*24</f>
        <v>480</v>
      </c>
      <c r="V77" s="26">
        <f t="shared" si="9"/>
        <v>504</v>
      </c>
    </row>
    <row r="78" spans="1:22" x14ac:dyDescent="0.25">
      <c r="A78" s="5" t="s">
        <v>88</v>
      </c>
      <c r="B78" s="50" t="s">
        <v>105</v>
      </c>
      <c r="C78" s="9" t="s">
        <v>194</v>
      </c>
      <c r="D78" s="9" t="s">
        <v>67</v>
      </c>
      <c r="E78" s="213"/>
      <c r="F78" s="214"/>
      <c r="G78" s="10"/>
      <c r="H78" s="49" t="s">
        <v>73</v>
      </c>
      <c r="I78" s="81"/>
      <c r="J78" s="81"/>
      <c r="K78" s="81"/>
      <c r="L78" s="100">
        <f t="shared" si="8"/>
        <v>303</v>
      </c>
      <c r="M78" s="81"/>
      <c r="N78" s="81"/>
      <c r="O78" s="47"/>
      <c r="T78" s="44">
        <v>288</v>
      </c>
      <c r="U78" s="44">
        <f>4*72</f>
        <v>288</v>
      </c>
      <c r="V78" s="26">
        <f t="shared" si="9"/>
        <v>302.40000000000003</v>
      </c>
    </row>
    <row r="79" spans="1:22" x14ac:dyDescent="0.25">
      <c r="A79" s="5" t="s">
        <v>69</v>
      </c>
      <c r="B79" s="9" t="s">
        <v>106</v>
      </c>
      <c r="C79" s="9" t="s">
        <v>107</v>
      </c>
      <c r="D79" s="9" t="s">
        <v>72</v>
      </c>
      <c r="E79" s="213"/>
      <c r="F79" s="214"/>
      <c r="G79" s="10"/>
      <c r="H79" s="49" t="s">
        <v>73</v>
      </c>
      <c r="I79" s="81"/>
      <c r="J79" s="81"/>
      <c r="K79" s="81"/>
      <c r="L79" s="100">
        <f t="shared" si="8"/>
        <v>1361</v>
      </c>
      <c r="M79" s="81"/>
      <c r="N79" s="81"/>
      <c r="T79" s="44">
        <v>1296</v>
      </c>
      <c r="U79" s="44">
        <f>16*72</f>
        <v>1152</v>
      </c>
      <c r="V79" s="26">
        <f t="shared" si="9"/>
        <v>1360.8</v>
      </c>
    </row>
    <row r="80" spans="1:22" x14ac:dyDescent="0.25">
      <c r="A80" s="5" t="s">
        <v>69</v>
      </c>
      <c r="B80" s="9" t="s">
        <v>108</v>
      </c>
      <c r="C80" s="9" t="s">
        <v>107</v>
      </c>
      <c r="D80" s="9" t="s">
        <v>72</v>
      </c>
      <c r="E80" s="213"/>
      <c r="F80" s="214"/>
      <c r="G80" s="10"/>
      <c r="H80" s="49" t="s">
        <v>73</v>
      </c>
      <c r="I80" s="81"/>
      <c r="J80" s="81"/>
      <c r="K80" s="81"/>
      <c r="L80" s="100">
        <f t="shared" si="8"/>
        <v>1361</v>
      </c>
      <c r="M80" s="81"/>
      <c r="N80" s="81"/>
      <c r="T80" s="44">
        <v>1296</v>
      </c>
      <c r="U80" s="44">
        <f>U79</f>
        <v>1152</v>
      </c>
      <c r="V80" s="26">
        <f t="shared" si="9"/>
        <v>1360.8</v>
      </c>
    </row>
    <row r="81" spans="1:26" x14ac:dyDescent="0.25">
      <c r="A81" s="5" t="s">
        <v>109</v>
      </c>
      <c r="B81" s="9" t="s">
        <v>110</v>
      </c>
      <c r="C81" s="9" t="s">
        <v>107</v>
      </c>
      <c r="D81" s="9" t="s">
        <v>72</v>
      </c>
      <c r="E81" s="213"/>
      <c r="F81" s="214"/>
      <c r="G81" s="10"/>
      <c r="H81" s="49" t="s">
        <v>73</v>
      </c>
      <c r="I81" s="81"/>
      <c r="J81" s="81"/>
      <c r="K81" s="81"/>
      <c r="L81" s="100">
        <f t="shared" si="8"/>
        <v>9476</v>
      </c>
      <c r="M81" s="81"/>
      <c r="N81" s="81"/>
      <c r="T81" s="44">
        <v>9792</v>
      </c>
      <c r="U81" s="44">
        <f>8*11*48+8*11*24+8*14*24</f>
        <v>9024</v>
      </c>
      <c r="V81" s="26">
        <f>U81*1.05</f>
        <v>9475.2000000000007</v>
      </c>
    </row>
    <row r="82" spans="1:26" x14ac:dyDescent="0.25">
      <c r="A82" s="5" t="s">
        <v>69</v>
      </c>
      <c r="B82" s="9" t="s">
        <v>111</v>
      </c>
      <c r="C82" s="9" t="s">
        <v>112</v>
      </c>
      <c r="D82" s="9" t="s">
        <v>72</v>
      </c>
      <c r="E82" s="213"/>
      <c r="F82" s="214"/>
      <c r="G82" s="10"/>
      <c r="H82" s="49" t="s">
        <v>73</v>
      </c>
      <c r="I82" s="81"/>
      <c r="J82" s="81"/>
      <c r="K82" s="81"/>
      <c r="L82" s="100">
        <f t="shared" si="8"/>
        <v>202</v>
      </c>
      <c r="M82" s="81"/>
      <c r="N82" s="81"/>
      <c r="T82" s="44">
        <v>192</v>
      </c>
      <c r="U82" s="44">
        <f>8*24</f>
        <v>192</v>
      </c>
      <c r="V82" s="26">
        <f t="shared" ref="V82:V84" si="10">U82*1.05</f>
        <v>201.60000000000002</v>
      </c>
    </row>
    <row r="83" spans="1:26" x14ac:dyDescent="0.25">
      <c r="A83" s="5" t="s">
        <v>69</v>
      </c>
      <c r="B83" s="50" t="s">
        <v>113</v>
      </c>
      <c r="C83" s="9" t="s">
        <v>114</v>
      </c>
      <c r="D83" s="9" t="s">
        <v>72</v>
      </c>
      <c r="E83" s="213"/>
      <c r="F83" s="214"/>
      <c r="G83" s="10"/>
      <c r="H83" s="49" t="s">
        <v>73</v>
      </c>
      <c r="I83" s="81"/>
      <c r="J83" s="81"/>
      <c r="K83" s="81"/>
      <c r="L83" s="100">
        <f t="shared" si="8"/>
        <v>404</v>
      </c>
      <c r="M83" s="81"/>
      <c r="N83" s="81"/>
      <c r="T83" s="44">
        <v>384</v>
      </c>
      <c r="U83" s="44">
        <f>4*96</f>
        <v>384</v>
      </c>
      <c r="V83" s="26">
        <f t="shared" si="10"/>
        <v>403.20000000000005</v>
      </c>
      <c r="W83" s="26"/>
    </row>
    <row r="84" spans="1:26" x14ac:dyDescent="0.25">
      <c r="A84" s="36" t="s">
        <v>69</v>
      </c>
      <c r="B84" s="59" t="s">
        <v>115</v>
      </c>
      <c r="C84" s="59" t="s">
        <v>107</v>
      </c>
      <c r="D84" s="59" t="s">
        <v>72</v>
      </c>
      <c r="E84" s="215"/>
      <c r="F84" s="216"/>
      <c r="G84" s="60"/>
      <c r="H84" s="97" t="s">
        <v>73</v>
      </c>
      <c r="I84" s="102"/>
      <c r="J84" s="102"/>
      <c r="K84" s="102"/>
      <c r="L84" s="103">
        <f t="shared" si="8"/>
        <v>908</v>
      </c>
      <c r="M84" s="102"/>
      <c r="N84" s="102"/>
      <c r="T84" s="61">
        <v>2300</v>
      </c>
      <c r="U84" s="61">
        <f>12*72</f>
        <v>864</v>
      </c>
      <c r="V84" s="26">
        <f t="shared" si="10"/>
        <v>907.2</v>
      </c>
    </row>
    <row r="85" spans="1:26" ht="26.25" customHeight="1" x14ac:dyDescent="0.25">
      <c r="A85" s="32" t="s">
        <v>88</v>
      </c>
      <c r="B85" s="99" t="s">
        <v>230</v>
      </c>
      <c r="C85" s="81" t="s">
        <v>229</v>
      </c>
      <c r="D85" s="81"/>
      <c r="E85" s="217"/>
      <c r="F85" s="217"/>
      <c r="G85" s="81"/>
      <c r="H85" s="62" t="s">
        <v>73</v>
      </c>
      <c r="I85" s="81"/>
      <c r="J85" s="81"/>
      <c r="K85" s="81"/>
      <c r="L85" s="100">
        <f>_xlfn.CEILING.MATH(V85)</f>
        <v>1743</v>
      </c>
      <c r="M85" s="81"/>
      <c r="N85" s="81"/>
      <c r="O85" s="64"/>
      <c r="P85" s="64"/>
      <c r="Q85" s="64"/>
      <c r="R85" s="64"/>
      <c r="S85" s="64"/>
      <c r="T85" s="44"/>
      <c r="U85" s="44">
        <f>10*48+12*24+10*24+8*72</f>
        <v>1584</v>
      </c>
      <c r="V85" s="26">
        <f>U85*1.1</f>
        <v>1742.4</v>
      </c>
    </row>
    <row r="86" spans="1:26" x14ac:dyDescent="0.25">
      <c r="A86" s="30"/>
      <c r="B86" s="104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105"/>
      <c r="P86" s="105"/>
      <c r="Q86" s="105"/>
      <c r="R86" s="105"/>
      <c r="S86" s="105"/>
      <c r="T86" s="106"/>
      <c r="U86" s="106"/>
    </row>
    <row r="87" spans="1:26" ht="15" customHeight="1" x14ac:dyDescent="0.25">
      <c r="A87" s="171" t="s">
        <v>116</v>
      </c>
      <c r="B87" s="172"/>
      <c r="C87" s="13"/>
      <c r="D87" s="13"/>
      <c r="E87" s="13"/>
      <c r="F87" s="13"/>
      <c r="G87" s="13"/>
      <c r="H87" s="13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27"/>
      <c r="U87" s="27"/>
    </row>
    <row r="88" spans="1:26" x14ac:dyDescent="0.25">
      <c r="A88" s="5" t="s">
        <v>88</v>
      </c>
      <c r="B88" s="9" t="s">
        <v>117</v>
      </c>
      <c r="C88" s="9" t="s">
        <v>90</v>
      </c>
      <c r="D88" s="9" t="s">
        <v>72</v>
      </c>
      <c r="E88" s="213"/>
      <c r="F88" s="214"/>
      <c r="G88" s="10"/>
      <c r="H88" s="49" t="s">
        <v>73</v>
      </c>
      <c r="I88" s="81"/>
      <c r="J88" s="81"/>
      <c r="K88" s="81"/>
      <c r="L88" s="100">
        <f t="shared" ref="L88:L117" si="11">_xlfn.CEILING.MATH(V88)</f>
        <v>3990</v>
      </c>
      <c r="M88" s="71"/>
      <c r="N88" s="72"/>
      <c r="T88" s="44">
        <v>3800</v>
      </c>
      <c r="U88" s="44">
        <f>12*2*72+12*4*48+12*4*24+12*4*24+4*2*96+4*72</f>
        <v>7392</v>
      </c>
      <c r="V88" s="26">
        <f>T88*1.05</f>
        <v>3990</v>
      </c>
    </row>
    <row r="89" spans="1:26" x14ac:dyDescent="0.25">
      <c r="A89" s="5" t="s">
        <v>88</v>
      </c>
      <c r="B89" s="9" t="s">
        <v>118</v>
      </c>
      <c r="C89" s="9" t="s">
        <v>119</v>
      </c>
      <c r="D89" s="9" t="s">
        <v>67</v>
      </c>
      <c r="E89" s="213"/>
      <c r="F89" s="214"/>
      <c r="G89" s="10"/>
      <c r="H89" s="49" t="s">
        <v>73</v>
      </c>
      <c r="I89" s="81"/>
      <c r="J89" s="81"/>
      <c r="K89" s="81"/>
      <c r="L89" s="100">
        <f t="shared" si="11"/>
        <v>3780</v>
      </c>
      <c r="M89" s="71"/>
      <c r="N89" s="72"/>
      <c r="T89" s="44">
        <v>3600</v>
      </c>
      <c r="U89" s="44"/>
      <c r="V89" s="26">
        <f t="shared" ref="V89:V100" si="12">T89*1.05</f>
        <v>3780</v>
      </c>
    </row>
    <row r="90" spans="1:26" x14ac:dyDescent="0.25">
      <c r="A90" s="5" t="s">
        <v>88</v>
      </c>
      <c r="B90" s="9" t="s">
        <v>120</v>
      </c>
      <c r="C90" s="9" t="s">
        <v>121</v>
      </c>
      <c r="D90" s="9" t="s">
        <v>72</v>
      </c>
      <c r="E90" s="213"/>
      <c r="F90" s="214"/>
      <c r="G90" s="10"/>
      <c r="H90" s="49" t="s">
        <v>73</v>
      </c>
      <c r="I90" s="81"/>
      <c r="J90" s="81"/>
      <c r="K90" s="81"/>
      <c r="L90" s="100">
        <f t="shared" si="11"/>
        <v>152</v>
      </c>
      <c r="M90" s="71"/>
      <c r="N90" s="72"/>
      <c r="T90" s="44">
        <v>144</v>
      </c>
      <c r="U90" s="44">
        <f>U91</f>
        <v>144</v>
      </c>
      <c r="V90" s="26">
        <f t="shared" si="12"/>
        <v>151.20000000000002</v>
      </c>
    </row>
    <row r="91" spans="1:26" x14ac:dyDescent="0.25">
      <c r="A91" s="5" t="s">
        <v>88</v>
      </c>
      <c r="B91" s="9" t="s">
        <v>122</v>
      </c>
      <c r="C91" s="9" t="s">
        <v>123</v>
      </c>
      <c r="D91" s="9" t="s">
        <v>72</v>
      </c>
      <c r="E91" s="213"/>
      <c r="F91" s="214"/>
      <c r="G91" s="10"/>
      <c r="H91" s="49" t="s">
        <v>73</v>
      </c>
      <c r="I91" s="81"/>
      <c r="J91" s="81"/>
      <c r="K91" s="81"/>
      <c r="L91" s="100">
        <f t="shared" si="11"/>
        <v>152</v>
      </c>
      <c r="M91" s="71"/>
      <c r="N91" s="72"/>
      <c r="T91" s="44">
        <v>144</v>
      </c>
      <c r="U91" s="44">
        <f>6*24</f>
        <v>144</v>
      </c>
      <c r="V91" s="26">
        <f t="shared" si="12"/>
        <v>151.20000000000002</v>
      </c>
    </row>
    <row r="92" spans="1:26" x14ac:dyDescent="0.25">
      <c r="A92" s="5" t="s">
        <v>88</v>
      </c>
      <c r="B92" s="9" t="s">
        <v>124</v>
      </c>
      <c r="C92" s="9" t="s">
        <v>125</v>
      </c>
      <c r="D92" s="9" t="s">
        <v>72</v>
      </c>
      <c r="E92" s="213"/>
      <c r="F92" s="214"/>
      <c r="G92" s="10"/>
      <c r="H92" s="49" t="s">
        <v>73</v>
      </c>
      <c r="I92" s="81"/>
      <c r="J92" s="81"/>
      <c r="K92" s="81"/>
      <c r="L92" s="100">
        <f t="shared" si="11"/>
        <v>605</v>
      </c>
      <c r="M92" s="71"/>
      <c r="N92" s="72"/>
      <c r="T92" s="44">
        <v>288</v>
      </c>
      <c r="U92" s="44">
        <f>U69*2</f>
        <v>576</v>
      </c>
      <c r="V92" s="26">
        <f>U92*1.05</f>
        <v>604.80000000000007</v>
      </c>
      <c r="W92" s="26"/>
      <c r="X92" s="26"/>
      <c r="Y92" s="26"/>
      <c r="Z92" s="26"/>
    </row>
    <row r="93" spans="1:26" x14ac:dyDescent="0.25">
      <c r="A93" s="5" t="s">
        <v>88</v>
      </c>
      <c r="B93" s="9" t="s">
        <v>126</v>
      </c>
      <c r="C93" s="9" t="s">
        <v>127</v>
      </c>
      <c r="D93" s="9" t="s">
        <v>72</v>
      </c>
      <c r="E93" s="213"/>
      <c r="F93" s="214"/>
      <c r="G93" s="10"/>
      <c r="H93" s="49" t="s">
        <v>73</v>
      </c>
      <c r="I93" s="81"/>
      <c r="J93" s="81"/>
      <c r="K93" s="81"/>
      <c r="L93" s="100">
        <f t="shared" si="11"/>
        <v>6930</v>
      </c>
      <c r="M93" s="71"/>
      <c r="N93" s="72"/>
      <c r="T93" s="44">
        <v>6600</v>
      </c>
      <c r="U93" s="44">
        <f>4*8*72+4*10*48+4*10*24+4*10*24+2*2*24</f>
        <v>6240</v>
      </c>
      <c r="V93" s="26">
        <f t="shared" si="12"/>
        <v>6930</v>
      </c>
    </row>
    <row r="94" spans="1:26" s="26" customFormat="1" x14ac:dyDescent="0.25">
      <c r="A94" s="22" t="s">
        <v>88</v>
      </c>
      <c r="B94" s="50" t="s">
        <v>196</v>
      </c>
      <c r="C94" s="22" t="s">
        <v>197</v>
      </c>
      <c r="D94" s="22" t="s">
        <v>67</v>
      </c>
      <c r="E94" s="174"/>
      <c r="F94" s="175"/>
      <c r="G94" s="25"/>
      <c r="H94" s="96" t="s">
        <v>73</v>
      </c>
      <c r="I94" s="99"/>
      <c r="J94" s="99"/>
      <c r="K94" s="99"/>
      <c r="L94" s="100">
        <f t="shared" si="11"/>
        <v>1664</v>
      </c>
      <c r="M94" s="78"/>
      <c r="N94" s="77"/>
      <c r="T94" s="44">
        <v>1584</v>
      </c>
      <c r="U94" s="44">
        <f>U95*2</f>
        <v>1584</v>
      </c>
      <c r="V94" s="26">
        <f t="shared" si="12"/>
        <v>1663.2</v>
      </c>
    </row>
    <row r="95" spans="1:26" s="26" customFormat="1" x14ac:dyDescent="0.25">
      <c r="A95" s="22" t="s">
        <v>88</v>
      </c>
      <c r="B95" s="50" t="s">
        <v>198</v>
      </c>
      <c r="C95" s="22" t="s">
        <v>195</v>
      </c>
      <c r="D95" s="22" t="s">
        <v>67</v>
      </c>
      <c r="E95" s="174"/>
      <c r="F95" s="175"/>
      <c r="G95" s="25"/>
      <c r="H95" s="96" t="s">
        <v>73</v>
      </c>
      <c r="I95" s="99"/>
      <c r="J95" s="99"/>
      <c r="K95" s="99"/>
      <c r="L95" s="100">
        <f t="shared" si="11"/>
        <v>832</v>
      </c>
      <c r="M95" s="78"/>
      <c r="N95" s="77"/>
      <c r="T95" s="44">
        <v>792</v>
      </c>
      <c r="U95" s="44">
        <f>U76+U77+U78</f>
        <v>792</v>
      </c>
      <c r="V95" s="26">
        <f t="shared" si="12"/>
        <v>831.6</v>
      </c>
    </row>
    <row r="96" spans="1:26" x14ac:dyDescent="0.25">
      <c r="A96" s="5" t="s">
        <v>88</v>
      </c>
      <c r="B96" s="9" t="s">
        <v>128</v>
      </c>
      <c r="C96" s="9" t="s">
        <v>129</v>
      </c>
      <c r="D96" s="9" t="s">
        <v>72</v>
      </c>
      <c r="E96" s="213"/>
      <c r="F96" s="214"/>
      <c r="G96" s="10"/>
      <c r="H96" s="49" t="s">
        <v>73</v>
      </c>
      <c r="I96" s="81"/>
      <c r="J96" s="81"/>
      <c r="K96" s="81"/>
      <c r="L96" s="100">
        <f t="shared" si="11"/>
        <v>2520</v>
      </c>
      <c r="M96" s="71"/>
      <c r="N96" s="72"/>
      <c r="T96" s="44">
        <v>2400</v>
      </c>
      <c r="U96" s="44"/>
      <c r="V96" s="26">
        <f t="shared" si="12"/>
        <v>2520</v>
      </c>
    </row>
    <row r="97" spans="1:22" x14ac:dyDescent="0.25">
      <c r="A97" s="5" t="s">
        <v>88</v>
      </c>
      <c r="B97" s="9" t="s">
        <v>130</v>
      </c>
      <c r="C97" s="9" t="s">
        <v>131</v>
      </c>
      <c r="D97" s="9" t="s">
        <v>72</v>
      </c>
      <c r="E97" s="213"/>
      <c r="F97" s="214"/>
      <c r="G97" s="10"/>
      <c r="H97" s="49" t="s">
        <v>73</v>
      </c>
      <c r="I97" s="81"/>
      <c r="J97" s="81"/>
      <c r="K97" s="81"/>
      <c r="L97" s="100">
        <f t="shared" si="11"/>
        <v>1995</v>
      </c>
      <c r="M97" s="71"/>
      <c r="N97" s="72"/>
      <c r="T97" s="44">
        <v>1900</v>
      </c>
      <c r="U97" s="44">
        <f>T92+U70</f>
        <v>1872</v>
      </c>
      <c r="V97" s="26">
        <f t="shared" si="12"/>
        <v>1995</v>
      </c>
    </row>
    <row r="98" spans="1:22" x14ac:dyDescent="0.25">
      <c r="A98" s="5" t="s">
        <v>88</v>
      </c>
      <c r="B98" s="9" t="s">
        <v>132</v>
      </c>
      <c r="C98" s="9" t="s">
        <v>133</v>
      </c>
      <c r="D98" s="9" t="s">
        <v>72</v>
      </c>
      <c r="E98" s="213"/>
      <c r="F98" s="214"/>
      <c r="G98" s="10"/>
      <c r="H98" s="49" t="s">
        <v>73</v>
      </c>
      <c r="I98" s="81"/>
      <c r="J98" s="81"/>
      <c r="K98" s="81"/>
      <c r="L98" s="100">
        <f t="shared" si="11"/>
        <v>303</v>
      </c>
      <c r="M98" s="71"/>
      <c r="N98" s="72"/>
      <c r="T98" s="44">
        <v>288</v>
      </c>
      <c r="U98" s="44">
        <f>U69</f>
        <v>288</v>
      </c>
      <c r="V98" s="26">
        <f t="shared" si="12"/>
        <v>302.40000000000003</v>
      </c>
    </row>
    <row r="99" spans="1:22" x14ac:dyDescent="0.25">
      <c r="A99" s="5" t="s">
        <v>88</v>
      </c>
      <c r="B99" s="9" t="s">
        <v>134</v>
      </c>
      <c r="C99" s="9" t="s">
        <v>135</v>
      </c>
      <c r="D99" s="9" t="s">
        <v>72</v>
      </c>
      <c r="E99" s="213"/>
      <c r="F99" s="214"/>
      <c r="G99" s="10"/>
      <c r="H99" s="49" t="s">
        <v>73</v>
      </c>
      <c r="I99" s="81"/>
      <c r="J99" s="81"/>
      <c r="K99" s="81"/>
      <c r="L99" s="100">
        <f t="shared" si="11"/>
        <v>1664</v>
      </c>
      <c r="M99" s="71"/>
      <c r="N99" s="72"/>
      <c r="T99" s="44">
        <v>1584</v>
      </c>
      <c r="U99" s="44">
        <f>U70</f>
        <v>1584</v>
      </c>
      <c r="V99" s="26">
        <f t="shared" si="12"/>
        <v>1663.2</v>
      </c>
    </row>
    <row r="100" spans="1:22" x14ac:dyDescent="0.25">
      <c r="A100" s="36" t="s">
        <v>69</v>
      </c>
      <c r="B100" s="59" t="s">
        <v>136</v>
      </c>
      <c r="C100" s="59" t="s">
        <v>137</v>
      </c>
      <c r="D100" s="59" t="s">
        <v>233</v>
      </c>
      <c r="E100" s="215"/>
      <c r="F100" s="216"/>
      <c r="G100" s="60"/>
      <c r="H100" s="97" t="s">
        <v>73</v>
      </c>
      <c r="I100" s="81"/>
      <c r="J100" s="81"/>
      <c r="K100" s="81"/>
      <c r="L100" s="100">
        <f t="shared" si="11"/>
        <v>1155</v>
      </c>
      <c r="M100" s="75"/>
      <c r="N100" s="74"/>
      <c r="T100" s="61">
        <v>1100</v>
      </c>
      <c r="U100" s="61">
        <f>4*48+4*24+6*24+2*4*72</f>
        <v>1008</v>
      </c>
      <c r="V100" s="26">
        <f t="shared" si="12"/>
        <v>1155</v>
      </c>
    </row>
    <row r="101" spans="1:22" x14ac:dyDescent="0.25">
      <c r="A101" s="32" t="s">
        <v>69</v>
      </c>
      <c r="B101" s="52" t="s">
        <v>208</v>
      </c>
      <c r="C101" s="41" t="s">
        <v>207</v>
      </c>
      <c r="D101" s="41" t="s">
        <v>47</v>
      </c>
      <c r="E101" s="218"/>
      <c r="F101" s="218"/>
      <c r="G101" s="56"/>
      <c r="H101" s="79" t="s">
        <v>209</v>
      </c>
      <c r="I101" s="81"/>
      <c r="J101" s="81"/>
      <c r="K101" s="81"/>
      <c r="L101" s="100">
        <f t="shared" si="11"/>
        <v>45</v>
      </c>
      <c r="M101" s="98"/>
      <c r="N101" s="81"/>
      <c r="O101" s="63"/>
      <c r="P101" s="64"/>
      <c r="Q101" s="64"/>
      <c r="R101" s="64"/>
      <c r="S101" s="64"/>
      <c r="T101" s="44">
        <v>48</v>
      </c>
      <c r="U101" s="44">
        <f>(125*2*48+125*2*24+125*2*24+125*2*72)/1000</f>
        <v>42</v>
      </c>
      <c r="V101" s="26">
        <f>U101*1.05</f>
        <v>44.1</v>
      </c>
    </row>
    <row r="102" spans="1:22" x14ac:dyDescent="0.25">
      <c r="A102" s="32" t="s">
        <v>69</v>
      </c>
      <c r="B102" s="52" t="s">
        <v>208</v>
      </c>
      <c r="C102" s="41" t="s">
        <v>206</v>
      </c>
      <c r="D102" s="41" t="s">
        <v>47</v>
      </c>
      <c r="E102" s="219"/>
      <c r="F102" s="220"/>
      <c r="G102" s="56"/>
      <c r="H102" s="79" t="s">
        <v>209</v>
      </c>
      <c r="I102" s="62"/>
      <c r="J102" s="62"/>
      <c r="K102" s="62"/>
      <c r="L102" s="100">
        <f t="shared" si="11"/>
        <v>164</v>
      </c>
      <c r="M102" s="65"/>
      <c r="N102" s="80"/>
      <c r="O102" s="63"/>
      <c r="P102" s="64"/>
      <c r="Q102" s="64"/>
      <c r="R102" s="64"/>
      <c r="S102" s="64"/>
      <c r="T102" s="44">
        <v>147</v>
      </c>
      <c r="U102" s="44">
        <f>(125*8*48+125*8*24+125*10*24+125*6*72)/1000</f>
        <v>156</v>
      </c>
      <c r="V102" s="26">
        <f t="shared" ref="V102:V110" si="13">U102*1.05</f>
        <v>163.80000000000001</v>
      </c>
    </row>
    <row r="103" spans="1:22" x14ac:dyDescent="0.25">
      <c r="A103" s="32" t="s">
        <v>69</v>
      </c>
      <c r="B103" s="81" t="s">
        <v>235</v>
      </c>
      <c r="C103" s="81" t="s">
        <v>231</v>
      </c>
      <c r="D103" s="81" t="s">
        <v>72</v>
      </c>
      <c r="E103" s="219"/>
      <c r="F103" s="220"/>
      <c r="G103" s="81"/>
      <c r="H103" s="79" t="s">
        <v>232</v>
      </c>
      <c r="I103" s="81"/>
      <c r="J103" s="81"/>
      <c r="K103" s="81"/>
      <c r="L103" s="100">
        <f t="shared" si="11"/>
        <v>26</v>
      </c>
      <c r="M103" s="81"/>
      <c r="N103" s="81"/>
      <c r="O103" s="64"/>
      <c r="P103" s="64"/>
      <c r="Q103" s="64"/>
      <c r="R103" s="64"/>
      <c r="S103" s="64"/>
      <c r="T103" s="44"/>
      <c r="U103" s="85">
        <f>U102*0.12+U101*0.05+X124*(10*48+10*24+12*24+8*72)</f>
        <v>23.988</v>
      </c>
      <c r="V103" s="26">
        <f t="shared" si="13"/>
        <v>25.1874</v>
      </c>
    </row>
    <row r="104" spans="1:22" x14ac:dyDescent="0.25">
      <c r="A104" s="32" t="s">
        <v>69</v>
      </c>
      <c r="B104" s="81"/>
      <c r="C104" s="81" t="s">
        <v>234</v>
      </c>
      <c r="D104" s="81"/>
      <c r="E104" s="219"/>
      <c r="F104" s="220"/>
      <c r="G104" s="81"/>
      <c r="H104" s="62" t="s">
        <v>238</v>
      </c>
      <c r="I104" s="81"/>
      <c r="J104" s="81"/>
      <c r="K104" s="81"/>
      <c r="L104" s="100">
        <f t="shared" si="11"/>
        <v>675</v>
      </c>
      <c r="M104" s="81"/>
      <c r="N104" s="81"/>
      <c r="O104" s="64"/>
      <c r="P104" s="64"/>
      <c r="Q104" s="64"/>
      <c r="R104" s="64"/>
      <c r="S104" s="64"/>
      <c r="T104" s="44"/>
      <c r="U104" s="85">
        <f>(J134*2+K134*2)*0.25</f>
        <v>642.72</v>
      </c>
      <c r="V104" s="26">
        <f t="shared" si="13"/>
        <v>674.85600000000011</v>
      </c>
    </row>
    <row r="105" spans="1:22" x14ac:dyDescent="0.25">
      <c r="A105" s="32" t="s">
        <v>88</v>
      </c>
      <c r="B105" s="81"/>
      <c r="C105" s="81" t="s">
        <v>236</v>
      </c>
      <c r="D105" s="81"/>
      <c r="E105" s="219"/>
      <c r="F105" s="220"/>
      <c r="G105" s="81"/>
      <c r="H105" s="62" t="s">
        <v>73</v>
      </c>
      <c r="I105" s="81"/>
      <c r="J105" s="81"/>
      <c r="K105" s="81"/>
      <c r="L105" s="100">
        <f t="shared" si="11"/>
        <v>9467</v>
      </c>
      <c r="M105" s="81"/>
      <c r="N105" s="81"/>
      <c r="O105" s="64"/>
      <c r="P105" s="64"/>
      <c r="Q105" s="64"/>
      <c r="R105" s="64"/>
      <c r="S105" s="64"/>
      <c r="T105" s="44"/>
      <c r="U105" s="85">
        <f>2*((J134+K134)/0.3)+T129/0.3</f>
        <v>9016</v>
      </c>
      <c r="V105" s="26">
        <f t="shared" si="13"/>
        <v>9466.8000000000011</v>
      </c>
    </row>
    <row r="106" spans="1:22" x14ac:dyDescent="0.25">
      <c r="A106" s="32" t="s">
        <v>88</v>
      </c>
      <c r="B106" s="81"/>
      <c r="C106" s="81" t="s">
        <v>237</v>
      </c>
      <c r="D106" s="81"/>
      <c r="E106" s="219"/>
      <c r="F106" s="220"/>
      <c r="G106" s="81"/>
      <c r="H106" s="62" t="s">
        <v>73</v>
      </c>
      <c r="I106" s="81"/>
      <c r="J106" s="81"/>
      <c r="K106" s="81"/>
      <c r="L106" s="100">
        <f t="shared" si="11"/>
        <v>11999</v>
      </c>
      <c r="M106" s="81"/>
      <c r="N106" s="81"/>
      <c r="O106" s="64"/>
      <c r="P106" s="64"/>
      <c r="Q106" s="64"/>
      <c r="R106" s="64"/>
      <c r="S106" s="64"/>
      <c r="T106" s="44"/>
      <c r="U106" s="85">
        <f>((J134+K134)/0.3)+((L134*2)/0.3)+((T129*2)/0.3)</f>
        <v>11427.199999999999</v>
      </c>
      <c r="V106" s="26">
        <f t="shared" si="13"/>
        <v>11998.56</v>
      </c>
    </row>
    <row r="107" spans="1:22" x14ac:dyDescent="0.25">
      <c r="A107" s="32" t="s">
        <v>88</v>
      </c>
      <c r="B107" s="81"/>
      <c r="C107" s="81" t="s">
        <v>245</v>
      </c>
      <c r="D107" s="81"/>
      <c r="E107" s="219"/>
      <c r="F107" s="220"/>
      <c r="G107" s="81"/>
      <c r="H107" s="62" t="s">
        <v>73</v>
      </c>
      <c r="I107" s="81"/>
      <c r="J107" s="81"/>
      <c r="K107" s="81"/>
      <c r="L107" s="100">
        <f t="shared" si="11"/>
        <v>7781</v>
      </c>
      <c r="M107" s="81"/>
      <c r="N107" s="81"/>
      <c r="O107" s="64"/>
      <c r="P107" s="64"/>
      <c r="Q107" s="64"/>
      <c r="R107" s="64"/>
      <c r="S107" s="64"/>
      <c r="T107" s="44"/>
      <c r="U107" s="85">
        <f>((J134+K134)/0.3)+L134/0.3</f>
        <v>7409.6</v>
      </c>
      <c r="V107" s="26">
        <f t="shared" si="13"/>
        <v>7780.0800000000008</v>
      </c>
    </row>
    <row r="108" spans="1:22" x14ac:dyDescent="0.25">
      <c r="A108" s="32" t="s">
        <v>69</v>
      </c>
      <c r="B108" s="81"/>
      <c r="C108" s="81" t="s">
        <v>249</v>
      </c>
      <c r="D108" s="81"/>
      <c r="E108" s="219"/>
      <c r="F108" s="220"/>
      <c r="G108" s="81"/>
      <c r="H108" s="62" t="s">
        <v>246</v>
      </c>
      <c r="I108" s="81"/>
      <c r="J108" s="81"/>
      <c r="K108" s="81"/>
      <c r="L108" s="100">
        <f t="shared" si="11"/>
        <v>2644</v>
      </c>
      <c r="M108" s="81"/>
      <c r="N108" s="81"/>
      <c r="O108" s="64"/>
      <c r="P108" s="64"/>
      <c r="Q108" s="64"/>
      <c r="R108" s="64"/>
      <c r="S108" s="64"/>
      <c r="T108" s="44"/>
      <c r="U108" s="85">
        <f>J134+L134*2</f>
        <v>2517.6</v>
      </c>
      <c r="V108" s="26">
        <f t="shared" si="13"/>
        <v>2643.48</v>
      </c>
    </row>
    <row r="109" spans="1:22" x14ac:dyDescent="0.25">
      <c r="A109" s="32" t="s">
        <v>69</v>
      </c>
      <c r="B109" s="81"/>
      <c r="C109" s="81" t="s">
        <v>239</v>
      </c>
      <c r="D109" s="81" t="s">
        <v>233</v>
      </c>
      <c r="E109" s="219"/>
      <c r="F109" s="220"/>
      <c r="G109" s="81"/>
      <c r="H109" s="62" t="s">
        <v>232</v>
      </c>
      <c r="I109" s="81"/>
      <c r="J109" s="81"/>
      <c r="K109" s="81"/>
      <c r="L109" s="100">
        <f t="shared" si="11"/>
        <v>675</v>
      </c>
      <c r="M109" s="81"/>
      <c r="N109" s="81"/>
      <c r="O109" s="64"/>
      <c r="P109" s="64"/>
      <c r="Q109" s="64"/>
      <c r="R109" s="64"/>
      <c r="S109" s="64"/>
      <c r="T109" s="44"/>
      <c r="U109" s="85">
        <f>V129</f>
        <v>613.55280000000016</v>
      </c>
      <c r="V109" s="26">
        <f>U109*1.1</f>
        <v>674.90808000000027</v>
      </c>
    </row>
    <row r="110" spans="1:22" ht="27" customHeight="1" x14ac:dyDescent="0.25">
      <c r="A110" s="32" t="s">
        <v>109</v>
      </c>
      <c r="B110" s="81" t="s">
        <v>146</v>
      </c>
      <c r="C110" s="81" t="s">
        <v>248</v>
      </c>
      <c r="D110" s="81" t="s">
        <v>247</v>
      </c>
      <c r="E110" s="219"/>
      <c r="F110" s="220"/>
      <c r="G110" s="81"/>
      <c r="H110" s="62" t="s">
        <v>73</v>
      </c>
      <c r="I110" s="81"/>
      <c r="J110" s="81"/>
      <c r="K110" s="81"/>
      <c r="L110" s="100">
        <f t="shared" si="11"/>
        <v>230</v>
      </c>
      <c r="M110" s="81"/>
      <c r="N110" s="81"/>
      <c r="O110" s="64"/>
      <c r="P110" s="64"/>
      <c r="Q110" s="64"/>
      <c r="R110" s="64"/>
      <c r="S110" s="64"/>
      <c r="T110" s="44"/>
      <c r="U110" s="85">
        <v>219</v>
      </c>
      <c r="V110" s="26">
        <f t="shared" si="13"/>
        <v>229.95000000000002</v>
      </c>
    </row>
    <row r="111" spans="1:22" x14ac:dyDescent="0.25">
      <c r="A111" s="107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106"/>
      <c r="U111" s="108"/>
    </row>
    <row r="112" spans="1:22" x14ac:dyDescent="0.25">
      <c r="A112" s="171" t="s">
        <v>189</v>
      </c>
      <c r="B112" s="172"/>
      <c r="C112" s="13"/>
      <c r="D112" s="13"/>
      <c r="E112" s="13"/>
      <c r="F112" s="13"/>
      <c r="G112" s="13"/>
      <c r="H112" s="13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27"/>
      <c r="U112" s="27"/>
    </row>
    <row r="113" spans="1:24" x14ac:dyDescent="0.25">
      <c r="A113" s="5" t="s">
        <v>69</v>
      </c>
      <c r="B113" s="9" t="s">
        <v>138</v>
      </c>
      <c r="C113" s="9" t="s">
        <v>139</v>
      </c>
      <c r="D113" s="208" t="s">
        <v>72</v>
      </c>
      <c r="E113" s="209"/>
      <c r="F113" s="210"/>
      <c r="G113" s="10"/>
      <c r="H113" s="49" t="s">
        <v>20</v>
      </c>
      <c r="I113" s="81"/>
      <c r="J113" s="81"/>
      <c r="K113" s="81"/>
      <c r="L113" s="100">
        <f t="shared" si="11"/>
        <v>4628</v>
      </c>
      <c r="M113" s="81"/>
      <c r="N113" s="81"/>
      <c r="T113" s="44">
        <v>4407</v>
      </c>
      <c r="U113" s="44" t="s">
        <v>226</v>
      </c>
      <c r="V113" s="26">
        <f>T113*1.05</f>
        <v>4627.3500000000004</v>
      </c>
    </row>
    <row r="114" spans="1:24" x14ac:dyDescent="0.25">
      <c r="A114" s="5" t="s">
        <v>69</v>
      </c>
      <c r="B114" s="9" t="s">
        <v>140</v>
      </c>
      <c r="C114" s="9" t="s">
        <v>141</v>
      </c>
      <c r="D114" s="208" t="s">
        <v>72</v>
      </c>
      <c r="E114" s="209"/>
      <c r="F114" s="210"/>
      <c r="G114" s="10"/>
      <c r="H114" s="49" t="s">
        <v>20</v>
      </c>
      <c r="I114" s="81"/>
      <c r="J114" s="81"/>
      <c r="K114" s="81"/>
      <c r="L114" s="100">
        <f t="shared" si="11"/>
        <v>2512</v>
      </c>
      <c r="M114" s="81"/>
      <c r="N114" s="81"/>
      <c r="T114" s="44">
        <v>2392</v>
      </c>
      <c r="U114" s="85">
        <f>((902+1064)*6*72+(967+1071)*8*48+(822+1071)*8*24+(917+1071)*8*24)/1000</f>
        <v>2377.056</v>
      </c>
      <c r="V114" s="26">
        <f t="shared" ref="V114:V117" si="14">T114*1.05</f>
        <v>2511.6</v>
      </c>
    </row>
    <row r="115" spans="1:24" x14ac:dyDescent="0.25">
      <c r="A115" s="5" t="s">
        <v>69</v>
      </c>
      <c r="B115" s="9" t="s">
        <v>142</v>
      </c>
      <c r="C115" s="9" t="s">
        <v>141</v>
      </c>
      <c r="D115" s="208" t="s">
        <v>72</v>
      </c>
      <c r="E115" s="209"/>
      <c r="F115" s="210"/>
      <c r="G115" s="10"/>
      <c r="H115" s="49" t="s">
        <v>20</v>
      </c>
      <c r="I115" s="81"/>
      <c r="J115" s="81"/>
      <c r="K115" s="81"/>
      <c r="L115" s="100">
        <f t="shared" si="11"/>
        <v>3675</v>
      </c>
      <c r="M115" s="81"/>
      <c r="N115" s="81"/>
      <c r="T115" s="44">
        <v>3500</v>
      </c>
      <c r="U115" s="44">
        <f>G16+G24+G17</f>
        <v>3720</v>
      </c>
      <c r="V115" s="26">
        <f t="shared" si="14"/>
        <v>3675</v>
      </c>
    </row>
    <row r="116" spans="1:24" x14ac:dyDescent="0.25">
      <c r="A116" s="5" t="s">
        <v>69</v>
      </c>
      <c r="B116" s="9" t="s">
        <v>143</v>
      </c>
      <c r="C116" s="9" t="s">
        <v>141</v>
      </c>
      <c r="D116" s="208" t="s">
        <v>72</v>
      </c>
      <c r="E116" s="209"/>
      <c r="F116" s="210"/>
      <c r="G116" s="10"/>
      <c r="H116" s="49" t="s">
        <v>20</v>
      </c>
      <c r="I116" s="81"/>
      <c r="J116" s="81"/>
      <c r="K116" s="81"/>
      <c r="L116" s="100">
        <f t="shared" si="11"/>
        <v>1785</v>
      </c>
      <c r="M116" s="81"/>
      <c r="N116" s="81"/>
      <c r="T116" s="44">
        <v>1700</v>
      </c>
      <c r="U116" s="44">
        <f>G20+G22</f>
        <v>1908</v>
      </c>
      <c r="V116" s="26">
        <f t="shared" si="14"/>
        <v>1785</v>
      </c>
    </row>
    <row r="117" spans="1:24" ht="14.25" customHeight="1" x14ac:dyDescent="0.25">
      <c r="A117" s="5" t="s">
        <v>69</v>
      </c>
      <c r="B117" s="9" t="s">
        <v>144</v>
      </c>
      <c r="C117" s="9" t="s">
        <v>141</v>
      </c>
      <c r="D117" s="208" t="s">
        <v>72</v>
      </c>
      <c r="E117" s="209"/>
      <c r="F117" s="210"/>
      <c r="G117" s="10"/>
      <c r="H117" s="49" t="s">
        <v>20</v>
      </c>
      <c r="I117" s="81"/>
      <c r="J117" s="81"/>
      <c r="K117" s="81"/>
      <c r="L117" s="100">
        <f t="shared" si="11"/>
        <v>5250</v>
      </c>
      <c r="M117" s="81"/>
      <c r="N117" s="81"/>
      <c r="T117" s="44">
        <v>5000</v>
      </c>
      <c r="U117" s="44">
        <f>U116+U115</f>
        <v>5628</v>
      </c>
      <c r="V117" s="26">
        <f t="shared" si="14"/>
        <v>5250</v>
      </c>
    </row>
    <row r="118" spans="1:24" x14ac:dyDescent="0.25">
      <c r="A118" s="73"/>
      <c r="B118" s="75"/>
      <c r="C118" s="75"/>
      <c r="D118" s="75"/>
      <c r="E118" s="75"/>
      <c r="F118" s="75"/>
      <c r="G118" s="75"/>
      <c r="H118" s="75"/>
      <c r="I118" s="31"/>
      <c r="J118" s="31"/>
      <c r="K118" s="31"/>
      <c r="L118" s="93"/>
      <c r="M118" s="31"/>
      <c r="N118" s="31"/>
      <c r="T118" s="27"/>
      <c r="U118" s="27"/>
    </row>
    <row r="119" spans="1:24" x14ac:dyDescent="0.25">
      <c r="A119" s="171" t="s">
        <v>145</v>
      </c>
      <c r="B119" s="172"/>
      <c r="C119" s="13"/>
      <c r="D119" s="13"/>
      <c r="E119" s="13"/>
      <c r="F119" s="13"/>
      <c r="G119" s="13"/>
      <c r="H119" s="13"/>
      <c r="I119" s="94"/>
      <c r="J119" s="94"/>
      <c r="K119" s="94"/>
      <c r="L119" s="95"/>
      <c r="M119" s="94"/>
      <c r="N119" s="94"/>
      <c r="T119" s="27"/>
      <c r="U119" s="27"/>
    </row>
    <row r="120" spans="1:24" x14ac:dyDescent="0.25">
      <c r="A120" s="5" t="s">
        <v>109</v>
      </c>
      <c r="B120" s="9" t="s">
        <v>146</v>
      </c>
      <c r="C120" s="9" t="s">
        <v>147</v>
      </c>
      <c r="D120" s="208" t="s">
        <v>148</v>
      </c>
      <c r="E120" s="209"/>
      <c r="F120" s="210"/>
      <c r="G120" s="10"/>
      <c r="H120" s="49" t="s">
        <v>149</v>
      </c>
      <c r="I120" s="81"/>
      <c r="J120" s="81"/>
      <c r="K120" s="81"/>
      <c r="L120" s="101">
        <f>U120</f>
        <v>468.05952000000002</v>
      </c>
      <c r="M120" s="81"/>
      <c r="N120" s="81"/>
      <c r="T120" s="44"/>
      <c r="U120" s="85">
        <f>(944*630*3*72+1010*641*4*48+865*641*4*24+1052*641*24+960*641*4*24+944*192*2*72+1010*204*3*48+865*204*4*24+960*204*3*24)/1000000</f>
        <v>468.05952000000002</v>
      </c>
    </row>
    <row r="121" spans="1:24" x14ac:dyDescent="0.25">
      <c r="A121" s="5" t="s">
        <v>109</v>
      </c>
      <c r="B121" s="9" t="s">
        <v>150</v>
      </c>
      <c r="C121" s="9" t="s">
        <v>151</v>
      </c>
      <c r="D121" s="208" t="s">
        <v>152</v>
      </c>
      <c r="E121" s="209"/>
      <c r="F121" s="210"/>
      <c r="G121" s="10"/>
      <c r="H121" s="49" t="s">
        <v>149</v>
      </c>
      <c r="I121" s="81"/>
      <c r="J121" s="81"/>
      <c r="K121" s="81"/>
      <c r="L121" s="101">
        <f t="shared" ref="L121:L123" si="15">U121</f>
        <v>607.52592000000004</v>
      </c>
      <c r="M121" s="81"/>
      <c r="N121" s="81"/>
      <c r="T121" s="44"/>
      <c r="U121" s="85">
        <f>(1064*902*3*72+967*1071*4*48+1089*864*24+822*1071*4*24+917*1071*4*24)/1000000</f>
        <v>607.52592000000004</v>
      </c>
    </row>
    <row r="122" spans="1:24" x14ac:dyDescent="0.25">
      <c r="A122" s="5" t="s">
        <v>109</v>
      </c>
      <c r="B122" s="50" t="s">
        <v>200</v>
      </c>
      <c r="C122" s="9" t="s">
        <v>177</v>
      </c>
      <c r="D122" s="208"/>
      <c r="E122" s="209"/>
      <c r="F122" s="210"/>
      <c r="G122" s="10"/>
      <c r="H122" s="49" t="s">
        <v>149</v>
      </c>
      <c r="I122" s="81"/>
      <c r="J122" s="81"/>
      <c r="K122" s="81"/>
      <c r="L122" s="101">
        <f t="shared" si="15"/>
        <v>26.846256</v>
      </c>
      <c r="M122" s="81"/>
      <c r="N122" s="81"/>
      <c r="T122" s="44"/>
      <c r="U122" s="85">
        <f>(970*182*48+825*182*24+920*182*24+916*163*72)/1000000</f>
        <v>26.846256</v>
      </c>
    </row>
    <row r="123" spans="1:24" x14ac:dyDescent="0.25">
      <c r="A123" s="5" t="s">
        <v>109</v>
      </c>
      <c r="B123" s="9" t="s">
        <v>153</v>
      </c>
      <c r="C123" s="9" t="s">
        <v>153</v>
      </c>
      <c r="D123" s="208" t="s">
        <v>152</v>
      </c>
      <c r="E123" s="209"/>
      <c r="F123" s="210"/>
      <c r="G123" s="10"/>
      <c r="H123" s="49" t="s">
        <v>149</v>
      </c>
      <c r="I123" s="81"/>
      <c r="J123" s="81"/>
      <c r="K123" s="81"/>
      <c r="L123" s="101">
        <f t="shared" si="15"/>
        <v>260.79475200000002</v>
      </c>
      <c r="M123" s="81"/>
      <c r="N123" s="81"/>
      <c r="T123" s="44"/>
      <c r="U123" s="85">
        <f>(944*429*3*72+1010*440*4*48+865*440*4*24+1052*432*24+960*440*4*24)/1000000</f>
        <v>260.79475200000002</v>
      </c>
      <c r="V123" s="109"/>
    </row>
    <row r="124" spans="1:24" x14ac:dyDescent="0.25">
      <c r="A124" s="1"/>
      <c r="T124" s="26"/>
      <c r="U124" s="27"/>
      <c r="X124" s="82">
        <f>40*50/1000000</f>
        <v>2E-3</v>
      </c>
    </row>
    <row r="125" spans="1:24" ht="23.25" customHeight="1" x14ac:dyDescent="0.35">
      <c r="A125" s="173" t="s">
        <v>154</v>
      </c>
      <c r="B125" s="173"/>
      <c r="T125" s="26"/>
      <c r="U125" s="27"/>
    </row>
    <row r="126" spans="1:24" x14ac:dyDescent="0.25">
      <c r="A126" s="1"/>
      <c r="T126" s="26"/>
      <c r="U126" s="27"/>
    </row>
    <row r="127" spans="1:24" x14ac:dyDescent="0.25">
      <c r="A127" s="163" t="s">
        <v>155</v>
      </c>
      <c r="B127" s="163" t="s">
        <v>156</v>
      </c>
      <c r="C127" s="163" t="s">
        <v>157</v>
      </c>
      <c r="D127" s="163" t="s">
        <v>4</v>
      </c>
      <c r="E127" s="165" t="s">
        <v>158</v>
      </c>
      <c r="F127" s="166"/>
      <c r="G127" s="163" t="s">
        <v>159</v>
      </c>
      <c r="H127" s="163" t="s">
        <v>12</v>
      </c>
      <c r="I127" s="163" t="s">
        <v>160</v>
      </c>
      <c r="T127" s="26"/>
      <c r="U127" s="27"/>
    </row>
    <row r="128" spans="1:24" x14ac:dyDescent="0.25">
      <c r="A128" s="164"/>
      <c r="B128" s="164"/>
      <c r="C128" s="164"/>
      <c r="D128" s="164"/>
      <c r="E128" s="14" t="s">
        <v>161</v>
      </c>
      <c r="F128" s="14" t="s">
        <v>162</v>
      </c>
      <c r="G128" s="164"/>
      <c r="H128" s="164"/>
      <c r="I128" s="164"/>
      <c r="J128" s="82" t="s">
        <v>240</v>
      </c>
      <c r="K128" s="82" t="s">
        <v>241</v>
      </c>
      <c r="L128" s="87" t="s">
        <v>242</v>
      </c>
      <c r="T128" s="26" t="s">
        <v>243</v>
      </c>
      <c r="U128" s="27" t="s">
        <v>244</v>
      </c>
      <c r="V128" s="26" t="s">
        <v>250</v>
      </c>
    </row>
    <row r="129" spans="1:22" x14ac:dyDescent="0.25">
      <c r="A129" s="15" t="s">
        <v>163</v>
      </c>
      <c r="B129" s="16" t="s">
        <v>164</v>
      </c>
      <c r="C129" s="17" t="s">
        <v>165</v>
      </c>
      <c r="D129" s="17" t="s">
        <v>233</v>
      </c>
      <c r="E129" s="17">
        <v>4300</v>
      </c>
      <c r="F129" s="17">
        <v>2790</v>
      </c>
      <c r="G129" s="17">
        <v>12</v>
      </c>
      <c r="H129" s="17">
        <v>48</v>
      </c>
      <c r="I129" s="17">
        <v>575.86</v>
      </c>
      <c r="J129" s="82">
        <f>E129*H129/1000</f>
        <v>206.4</v>
      </c>
      <c r="K129" s="82">
        <f>J129</f>
        <v>206.4</v>
      </c>
      <c r="L129" s="87">
        <f>F129*H129*2/1000</f>
        <v>267.83999999999997</v>
      </c>
      <c r="T129" s="26">
        <f>F129*H129/1000</f>
        <v>133.91999999999999</v>
      </c>
      <c r="U129" s="27">
        <f>(E129*2+F129*2)*H129/1000</f>
        <v>680.64</v>
      </c>
      <c r="V129" s="26">
        <f>((125+110+200)/1000)*K134+((120+50+110)/1000)*J134+((60+60)/1000)*L134+(210/1000)*T129+(100/1000*T129)</f>
        <v>613.55280000000016</v>
      </c>
    </row>
    <row r="130" spans="1:22" x14ac:dyDescent="0.25">
      <c r="A130" s="15" t="s">
        <v>166</v>
      </c>
      <c r="B130" s="16" t="s">
        <v>167</v>
      </c>
      <c r="C130" s="17" t="s">
        <v>165</v>
      </c>
      <c r="D130" s="17" t="s">
        <v>233</v>
      </c>
      <c r="E130" s="17">
        <f>1180+3750</f>
        <v>4930</v>
      </c>
      <c r="F130" s="17">
        <v>2790</v>
      </c>
      <c r="G130" s="17">
        <v>13.53</v>
      </c>
      <c r="H130" s="17">
        <v>12</v>
      </c>
      <c r="I130" s="17">
        <v>162.38</v>
      </c>
      <c r="J130" s="82">
        <f t="shared" ref="J130:J133" si="16">E130*H130/1000</f>
        <v>59.16</v>
      </c>
      <c r="K130" s="82">
        <f t="shared" ref="K130:K134" si="17">J130</f>
        <v>59.16</v>
      </c>
      <c r="L130" s="87">
        <f t="shared" ref="L130:L133" si="18">F130*H130*2/1000</f>
        <v>66.959999999999994</v>
      </c>
      <c r="T130" s="26"/>
      <c r="U130" s="27">
        <f t="shared" ref="U130:U133" si="19">(E130*2+F130*2)*H130/1000</f>
        <v>185.28</v>
      </c>
    </row>
    <row r="131" spans="1:22" x14ac:dyDescent="0.25">
      <c r="A131" s="15" t="s">
        <v>168</v>
      </c>
      <c r="B131" s="16" t="s">
        <v>169</v>
      </c>
      <c r="C131" s="17" t="s">
        <v>165</v>
      </c>
      <c r="D131" s="17" t="s">
        <v>233</v>
      </c>
      <c r="E131" s="17">
        <v>4930</v>
      </c>
      <c r="F131" s="17">
        <v>2790</v>
      </c>
      <c r="G131" s="17">
        <v>13.53</v>
      </c>
      <c r="H131" s="17">
        <v>12</v>
      </c>
      <c r="I131" s="17">
        <v>162.38</v>
      </c>
      <c r="J131" s="82">
        <f t="shared" si="16"/>
        <v>59.16</v>
      </c>
      <c r="K131" s="82">
        <f t="shared" si="17"/>
        <v>59.16</v>
      </c>
      <c r="L131" s="87">
        <f t="shared" si="18"/>
        <v>66.959999999999994</v>
      </c>
      <c r="T131" s="26"/>
      <c r="U131" s="27">
        <f t="shared" si="19"/>
        <v>185.28</v>
      </c>
    </row>
    <row r="132" spans="1:22" x14ac:dyDescent="0.25">
      <c r="A132" s="15" t="s">
        <v>170</v>
      </c>
      <c r="B132" s="16" t="s">
        <v>171</v>
      </c>
      <c r="C132" s="17" t="s">
        <v>165</v>
      </c>
      <c r="D132" s="17" t="s">
        <v>233</v>
      </c>
      <c r="E132" s="17">
        <v>4100</v>
      </c>
      <c r="F132" s="17">
        <v>2790</v>
      </c>
      <c r="G132" s="17">
        <v>11.44</v>
      </c>
      <c r="H132" s="17">
        <v>24</v>
      </c>
      <c r="I132" s="17">
        <v>274.54000000000002</v>
      </c>
      <c r="J132" s="82">
        <f t="shared" si="16"/>
        <v>98.4</v>
      </c>
      <c r="K132" s="82">
        <f t="shared" si="17"/>
        <v>98.4</v>
      </c>
      <c r="L132" s="87">
        <f t="shared" si="18"/>
        <v>133.91999999999999</v>
      </c>
      <c r="T132" s="26"/>
      <c r="U132" s="27">
        <f t="shared" si="19"/>
        <v>330.72</v>
      </c>
    </row>
    <row r="133" spans="1:22" x14ac:dyDescent="0.25">
      <c r="A133" s="15" t="s">
        <v>172</v>
      </c>
      <c r="B133" s="16" t="s">
        <v>173</v>
      </c>
      <c r="C133" s="17" t="s">
        <v>174</v>
      </c>
      <c r="D133" s="17" t="s">
        <v>233</v>
      </c>
      <c r="E133" s="17">
        <v>3050</v>
      </c>
      <c r="F133" s="17">
        <v>2790</v>
      </c>
      <c r="G133" s="17">
        <v>8.5</v>
      </c>
      <c r="H133" s="17">
        <v>72</v>
      </c>
      <c r="I133" s="17">
        <v>612.28</v>
      </c>
      <c r="J133" s="82">
        <f t="shared" si="16"/>
        <v>219.6</v>
      </c>
      <c r="K133" s="82">
        <f t="shared" si="17"/>
        <v>219.6</v>
      </c>
      <c r="L133" s="87">
        <f t="shared" si="18"/>
        <v>401.76</v>
      </c>
      <c r="T133" s="26"/>
      <c r="U133" s="27">
        <f t="shared" si="19"/>
        <v>840.96</v>
      </c>
    </row>
    <row r="134" spans="1:22" x14ac:dyDescent="0.25">
      <c r="J134" s="82">
        <f>SUM(J129:J133)</f>
        <v>642.72</v>
      </c>
      <c r="K134" s="82">
        <f t="shared" si="17"/>
        <v>642.72</v>
      </c>
      <c r="L134" s="87">
        <f>SUM(L129:L133)</f>
        <v>937.43999999999994</v>
      </c>
      <c r="T134" s="26"/>
      <c r="U134" s="27">
        <f>SUM(U129:U133)</f>
        <v>2222.88</v>
      </c>
    </row>
    <row r="135" spans="1:22" x14ac:dyDescent="0.25">
      <c r="T135" s="26"/>
      <c r="U135" s="27"/>
    </row>
    <row r="136" spans="1:22" x14ac:dyDescent="0.25">
      <c r="T136" s="26"/>
      <c r="U136" s="27"/>
    </row>
    <row r="137" spans="1:22" x14ac:dyDescent="0.25">
      <c r="K137" s="82">
        <f>E129*F129*H129/1000000</f>
        <v>575.85599999999999</v>
      </c>
      <c r="T137" s="26"/>
      <c r="U137" s="27"/>
    </row>
    <row r="138" spans="1:22" x14ac:dyDescent="0.25">
      <c r="K138" s="82">
        <f t="shared" ref="K138:K141" si="20">E130*F130*H130/1000000</f>
        <v>165.0564</v>
      </c>
      <c r="T138" s="26"/>
      <c r="U138" s="27"/>
    </row>
    <row r="139" spans="1:22" x14ac:dyDescent="0.25">
      <c r="K139" s="82">
        <f t="shared" si="20"/>
        <v>165.0564</v>
      </c>
      <c r="T139" s="26"/>
      <c r="U139" s="27"/>
    </row>
    <row r="140" spans="1:22" x14ac:dyDescent="0.25">
      <c r="K140" s="82">
        <f t="shared" si="20"/>
        <v>274.536</v>
      </c>
      <c r="T140" s="26"/>
      <c r="U140" s="27"/>
    </row>
    <row r="141" spans="1:22" x14ac:dyDescent="0.25">
      <c r="K141" s="82">
        <f t="shared" si="20"/>
        <v>612.68399999999997</v>
      </c>
      <c r="T141" s="26"/>
      <c r="U141" s="27"/>
    </row>
    <row r="142" spans="1:22" x14ac:dyDescent="0.25">
      <c r="K142" s="82">
        <f>SUM(K137:K141)</f>
        <v>1793.1887999999999</v>
      </c>
      <c r="T142" s="26"/>
      <c r="U142" s="27"/>
    </row>
    <row r="143" spans="1:22" x14ac:dyDescent="0.25">
      <c r="T143" s="26"/>
      <c r="U143" s="27"/>
    </row>
    <row r="144" spans="1:22" x14ac:dyDescent="0.25">
      <c r="T144" s="26"/>
      <c r="U144" s="27"/>
    </row>
    <row r="145" spans="20:21" x14ac:dyDescent="0.25">
      <c r="T145" s="26"/>
      <c r="U145" s="27"/>
    </row>
    <row r="146" spans="20:21" x14ac:dyDescent="0.25">
      <c r="T146" s="26"/>
      <c r="U146" s="27"/>
    </row>
    <row r="147" spans="20:21" x14ac:dyDescent="0.25">
      <c r="T147" s="26"/>
      <c r="U147" s="27"/>
    </row>
    <row r="148" spans="20:21" x14ac:dyDescent="0.25">
      <c r="T148" s="26"/>
      <c r="U148" s="27"/>
    </row>
    <row r="149" spans="20:21" x14ac:dyDescent="0.25">
      <c r="T149" s="26"/>
      <c r="U149" s="27"/>
    </row>
    <row r="150" spans="20:21" x14ac:dyDescent="0.25">
      <c r="T150" s="26"/>
      <c r="U150" s="27"/>
    </row>
    <row r="151" spans="20:21" x14ac:dyDescent="0.25">
      <c r="T151" s="26"/>
      <c r="U151" s="27"/>
    </row>
    <row r="152" spans="20:21" x14ac:dyDescent="0.25">
      <c r="T152" s="26"/>
      <c r="U152" s="27"/>
    </row>
    <row r="153" spans="20:21" x14ac:dyDescent="0.25">
      <c r="T153" s="26"/>
      <c r="U153" s="27"/>
    </row>
    <row r="154" spans="20:21" x14ac:dyDescent="0.25">
      <c r="T154" s="26"/>
      <c r="U154" s="27"/>
    </row>
    <row r="155" spans="20:21" x14ac:dyDescent="0.25">
      <c r="T155" s="26"/>
      <c r="U155" s="27"/>
    </row>
    <row r="156" spans="20:21" x14ac:dyDescent="0.25">
      <c r="T156" s="26"/>
      <c r="U156" s="27"/>
    </row>
    <row r="157" spans="20:21" x14ac:dyDescent="0.25">
      <c r="T157" s="26"/>
      <c r="U157" s="27"/>
    </row>
    <row r="158" spans="20:21" x14ac:dyDescent="0.25">
      <c r="T158" s="26"/>
      <c r="U158" s="27"/>
    </row>
    <row r="159" spans="20:21" x14ac:dyDescent="0.25">
      <c r="T159" s="26"/>
      <c r="U159" s="27"/>
    </row>
    <row r="160" spans="20:21" x14ac:dyDescent="0.25">
      <c r="T160" s="26"/>
      <c r="U160" s="27"/>
    </row>
    <row r="161" spans="20:21" x14ac:dyDescent="0.25">
      <c r="T161" s="26"/>
      <c r="U161" s="27"/>
    </row>
    <row r="162" spans="20:21" x14ac:dyDescent="0.25">
      <c r="T162" s="26"/>
      <c r="U162" s="27"/>
    </row>
    <row r="163" spans="20:21" x14ac:dyDescent="0.25">
      <c r="T163" s="26"/>
      <c r="U163" s="27"/>
    </row>
    <row r="164" spans="20:21" x14ac:dyDescent="0.25">
      <c r="T164" s="26"/>
      <c r="U164" s="27"/>
    </row>
    <row r="165" spans="20:21" x14ac:dyDescent="0.25">
      <c r="T165" s="26"/>
      <c r="U165" s="27"/>
    </row>
    <row r="166" spans="20:21" x14ac:dyDescent="0.25">
      <c r="T166" s="26"/>
      <c r="U166" s="27"/>
    </row>
  </sheetData>
  <mergeCells count="88">
    <mergeCell ref="D127:D128"/>
    <mergeCell ref="G127:G128"/>
    <mergeCell ref="H127:H128"/>
    <mergeCell ref="I127:I128"/>
    <mergeCell ref="D121:F121"/>
    <mergeCell ref="D122:F122"/>
    <mergeCell ref="D123:F123"/>
    <mergeCell ref="E127:F127"/>
    <mergeCell ref="A119:B119"/>
    <mergeCell ref="A125:B125"/>
    <mergeCell ref="A127:A128"/>
    <mergeCell ref="B127:B128"/>
    <mergeCell ref="C127:C128"/>
    <mergeCell ref="D120:F120"/>
    <mergeCell ref="E107:F107"/>
    <mergeCell ref="E108:F108"/>
    <mergeCell ref="E109:F109"/>
    <mergeCell ref="E110:F110"/>
    <mergeCell ref="D114:F114"/>
    <mergeCell ref="D115:F115"/>
    <mergeCell ref="D116:F116"/>
    <mergeCell ref="D117:F117"/>
    <mergeCell ref="A112:B112"/>
    <mergeCell ref="D113:F113"/>
    <mergeCell ref="E101:F101"/>
    <mergeCell ref="E102:F102"/>
    <mergeCell ref="E103:F103"/>
    <mergeCell ref="E104:F104"/>
    <mergeCell ref="E105:F105"/>
    <mergeCell ref="E106:F106"/>
    <mergeCell ref="A87:B87"/>
    <mergeCell ref="E100:F100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88:F88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A75:B75"/>
    <mergeCell ref="D59:F59"/>
    <mergeCell ref="A61:B61"/>
    <mergeCell ref="D64:F64"/>
    <mergeCell ref="A66:B66"/>
    <mergeCell ref="E67:F67"/>
    <mergeCell ref="E68:F68"/>
    <mergeCell ref="E69:F69"/>
    <mergeCell ref="E70:F70"/>
    <mergeCell ref="E71:F71"/>
    <mergeCell ref="E72:F72"/>
    <mergeCell ref="E73:F73"/>
    <mergeCell ref="A41:B41"/>
    <mergeCell ref="A52:B52"/>
    <mergeCell ref="A55:B55"/>
    <mergeCell ref="D56:F56"/>
    <mergeCell ref="D57:F57"/>
    <mergeCell ref="D58:F58"/>
    <mergeCell ref="F7:F8"/>
    <mergeCell ref="G7:G8"/>
    <mergeCell ref="H7:H8"/>
    <mergeCell ref="J7:J8"/>
    <mergeCell ref="L7:L8"/>
    <mergeCell ref="A10:B10"/>
    <mergeCell ref="A1:N1"/>
    <mergeCell ref="A5:A8"/>
    <mergeCell ref="B5:B8"/>
    <mergeCell ref="C5:C8"/>
    <mergeCell ref="D5:F6"/>
    <mergeCell ref="G5:H6"/>
    <mergeCell ref="I5:J6"/>
    <mergeCell ref="K5:M6"/>
    <mergeCell ref="D7:D8"/>
    <mergeCell ref="E7:E8"/>
  </mergeCells>
  <pageMargins left="0.75" right="0.75" top="1" bottom="1" header="0.5" footer="0.5"/>
  <pageSetup paperSize="8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КЗ</vt:lpstr>
      <vt:lpstr>КЗ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Азаров</dc:creator>
  <cp:lastModifiedBy>Сынкова Татьяна Сергеевна</cp:lastModifiedBy>
  <cp:lastPrinted>2025-03-06T13:31:24Z</cp:lastPrinted>
  <dcterms:created xsi:type="dcterms:W3CDTF">2025-02-27T09:10:35Z</dcterms:created>
  <dcterms:modified xsi:type="dcterms:W3CDTF">2025-04-08T14:25:12Z</dcterms:modified>
</cp:coreProperties>
</file>